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Income Statement" sheetId="2" state="visible" r:id="rId4"/>
    <sheet name="Balance Sheet" sheetId="3" state="visible" r:id="rId5"/>
    <sheet name="Cash Flow Statement" sheetId="4" state="visible" r:id="rId6"/>
    <sheet name="EPS Summary" sheetId="5" state="visible" r:id="rId7"/>
    <sheet name="Valuation" sheetId="6" state="visible" r:id="rId8"/>
    <sheet name="Lawsuit &amp; Squeeze Scenario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<sst xmlns="http://schemas.openxmlformats.org/spreadsheetml/2006/main" count="428" uniqueCount="345">
  <si>
    <t xml:space="preserve">USA TODAY Co., Inc. — Model Assumptions &amp; Key Drivers</t>
  </si>
  <si>
    <t xml:space="preserve">NYSE: TDAY | Turnaround model: print declining, digital growing, debt reduction | USD millions</t>
  </si>
  <si>
    <t xml:space="preserve">Driver / Assumption</t>
  </si>
  <si>
    <t xml:space="preserve">FY2022A</t>
  </si>
  <si>
    <t xml:space="preserve">FY2023A</t>
  </si>
  <si>
    <t xml:space="preserve">FY2024A</t>
  </si>
  <si>
    <t xml:space="preserve">FY2025E</t>
  </si>
  <si>
    <t xml:space="preserve">FY2026E</t>
  </si>
  <si>
    <t xml:space="preserve">FY2027E</t>
  </si>
  <si>
    <t xml:space="preserve">FY2028E</t>
  </si>
  <si>
    <t xml:space="preserve">FY2029E</t>
  </si>
  <si>
    <t xml:space="preserve">FY2030E</t>
  </si>
  <si>
    <t xml:space="preserve">REVENUE ASSUMPTIONS</t>
  </si>
  <si>
    <t xml:space="preserve">Total Revenue ($M)</t>
  </si>
  <si>
    <t xml:space="preserve">  YoY Revenue Growth</t>
  </si>
  <si>
    <t xml:space="preserve">  Digital Revenue ($M)</t>
  </si>
  <si>
    <t xml:space="preserve">  Digital Revenue % of Total</t>
  </si>
  <si>
    <t xml:space="preserve">  Print Revenue ($M)</t>
  </si>
  <si>
    <t xml:space="preserve">  Print Revenue YoY Decline</t>
  </si>
  <si>
    <t xml:space="preserve">PROFITABILITY ASSUMPTIONS</t>
  </si>
  <si>
    <t xml:space="preserve">Gross Margin %</t>
  </si>
  <si>
    <t xml:space="preserve">Adj. EBITDA Margin %</t>
  </si>
  <si>
    <t xml:space="preserve">D&amp;A ($M)</t>
  </si>
  <si>
    <t xml:space="preserve">Interest Expense ($M)</t>
  </si>
  <si>
    <t xml:space="preserve">GAAP Tax Rate</t>
  </si>
  <si>
    <t xml:space="preserve">Restructuring &amp; One-Time Costs ($M)</t>
  </si>
  <si>
    <t xml:space="preserve">BALANCE SHEET &amp; CASH FLOW ASSUMPTIONS</t>
  </si>
  <si>
    <t xml:space="preserve">Total Debt ($M)</t>
  </si>
  <si>
    <t xml:space="preserve">Annual Debt Repayment ($M)</t>
  </si>
  <si>
    <t xml:space="preserve">Capital Expenditures ($M)</t>
  </si>
  <si>
    <t xml:space="preserve">Working Capital Change ($M)</t>
  </si>
  <si>
    <t xml:space="preserve">Diluted Shares Outstanding (M)</t>
  </si>
  <si>
    <t xml:space="preserve">VALUATION ASSUMPTIONS</t>
  </si>
  <si>
    <t xml:space="preserve">WACC</t>
  </si>
  <si>
    <t xml:space="preserve">Terminal Growth Rate</t>
  </si>
  <si>
    <t xml:space="preserve">EV/EBITDA Exit Multiple</t>
  </si>
  <si>
    <t xml:space="preserve">Target P/E Multiple (on GAAP EPS)</t>
  </si>
  <si>
    <t xml:space="preserve">⚠  KEY RISKS: ~$1B debt load | print revenue structurally declining ~15%/yr | digital sub growth uncertain | debt refinancing risk 2027/2029</t>
  </si>
  <si>
    <t xml:space="preserve">Colour: Blue = hardcoded input | Black = formula | Dark green = cross-sheet link | Amber = risk flag</t>
  </si>
  <si>
    <t xml:space="preserve">Sources: TDAY 2024 10-K (SEC EDGAR, filed 2025-02-20) | Q2 2025 Earnings Release (2025-07-31) | Q4 2025 highlights (Quartr)</t>
  </si>
  <si>
    <t xml:space="preserve">USA TODAY Co. — Consolidated Income Statement ($M)</t>
  </si>
  <si>
    <t xml:space="preserve">USA TODAY Co., Inc. (NYSE: TDAY) | USD millions unless noted | Source: 2024 10-K &amp; Q2 2025 Earnings</t>
  </si>
  <si>
    <t xml:space="preserve">REVENUE</t>
  </si>
  <si>
    <t xml:space="preserve">Digital Revenue</t>
  </si>
  <si>
    <t xml:space="preserve">Print &amp; Commercial Revenue</t>
  </si>
  <si>
    <t xml:space="preserve">Total Revenue</t>
  </si>
  <si>
    <t xml:space="preserve">  Digital % of Revenue</t>
  </si>
  <si>
    <t xml:space="preserve">COST STRUCTURE</t>
  </si>
  <si>
    <t xml:space="preserve">Cost of Revenue</t>
  </si>
  <si>
    <t xml:space="preserve">Gross Profit</t>
  </si>
  <si>
    <t xml:space="preserve">  Gross Margin %</t>
  </si>
  <si>
    <t xml:space="preserve">OPERATING EXPENSES</t>
  </si>
  <si>
    <t xml:space="preserve">Selling, General &amp; Administrative</t>
  </si>
  <si>
    <t xml:space="preserve">Restructuring &amp; Integration Costs</t>
  </si>
  <si>
    <t xml:space="preserve">Depreciation &amp; Amortization</t>
  </si>
  <si>
    <t xml:space="preserve">Total Operating Expenses (ex-COGS)</t>
  </si>
  <si>
    <t xml:space="preserve">Operating Income (EBIT)</t>
  </si>
  <si>
    <t xml:space="preserve">  EBIT Margin %</t>
  </si>
  <si>
    <t xml:space="preserve">BELOW THE LINE</t>
  </si>
  <si>
    <t xml:space="preserve">Interest Expense, Net</t>
  </si>
  <si>
    <t xml:space="preserve">Other Non-Operating, Net</t>
  </si>
  <si>
    <t xml:space="preserve">Earnings Before Tax (EBT)</t>
  </si>
  <si>
    <t xml:space="preserve">Income Tax Expense</t>
  </si>
  <si>
    <t xml:space="preserve">Net Income (GAAP)</t>
  </si>
  <si>
    <t xml:space="preserve">  GAAP Net Margin %</t>
  </si>
  <si>
    <t xml:space="preserve">ADJUSTED EBITDA RECONCILIATION</t>
  </si>
  <si>
    <t xml:space="preserve">Adjusted EBITDA</t>
  </si>
  <si>
    <t xml:space="preserve">  Adj. EBITDA Margin %</t>
  </si>
  <si>
    <t xml:space="preserve">EBITDA (GAAP — EBIT + D&amp;A)</t>
  </si>
  <si>
    <t xml:space="preserve">EARNINGS PER SHARE</t>
  </si>
  <si>
    <t xml:space="preserve">GAAP EPS (Diluted)</t>
  </si>
  <si>
    <t xml:space="preserve">  EPS YoY Growth</t>
  </si>
  <si>
    <t xml:space="preserve">USA TODAY Co. — Consolidated Balance Sheet ($M)</t>
  </si>
  <si>
    <t xml:space="preserve">CURRENT ASSETS</t>
  </si>
  <si>
    <t xml:space="preserve">Cash &amp; Cash Equivalents</t>
  </si>
  <si>
    <t xml:space="preserve">Accounts Receivable, Net</t>
  </si>
  <si>
    <t xml:space="preserve">Inventories &amp; Other Current Assets</t>
  </si>
  <si>
    <t xml:space="preserve">Total Current Assets</t>
  </si>
  <si>
    <t xml:space="preserve">NON-CURRENT ASSETS</t>
  </si>
  <si>
    <t xml:space="preserve">Property, Plant &amp; Equipment, Net</t>
  </si>
  <si>
    <t xml:space="preserve">Goodwill</t>
  </si>
  <si>
    <t xml:space="preserve">Intangible Assets, Net</t>
  </si>
  <si>
    <t xml:space="preserve">Deferred Tax &amp; Other Non-Current</t>
  </si>
  <si>
    <t xml:space="preserve">Total Non-Current Assets</t>
  </si>
  <si>
    <t xml:space="preserve">TOTAL ASSETS</t>
  </si>
  <si>
    <t xml:space="preserve">CURRENT LIABILITIES</t>
  </si>
  <si>
    <t xml:space="preserve">Accounts Payable &amp; Accrued Liabilities</t>
  </si>
  <si>
    <t xml:space="preserve">Deferred Revenue</t>
  </si>
  <si>
    <t xml:space="preserve">Current Portion of Long-Term Debt</t>
  </si>
  <si>
    <t xml:space="preserve">Other Current Liabilities</t>
  </si>
  <si>
    <t xml:space="preserve">Total Current Liabilities</t>
  </si>
  <si>
    <t xml:space="preserve">NON-CURRENT LIABILITIES</t>
  </si>
  <si>
    <t xml:space="preserve">Long-Term Debt (excl. current portion)</t>
  </si>
  <si>
    <t xml:space="preserve">Pension &amp; Post-Retirement Obligations</t>
  </si>
  <si>
    <t xml:space="preserve">Operating Lease &amp; Other Long-Term Liabilities</t>
  </si>
  <si>
    <t xml:space="preserve">Total Non-Current Liabilities</t>
  </si>
  <si>
    <t xml:space="preserve">TOTAL LIABILITIES</t>
  </si>
  <si>
    <t xml:space="preserve">SHAREHOLDERS' EQUITY</t>
  </si>
  <si>
    <t xml:space="preserve">Common Stock &amp; APIC</t>
  </si>
  <si>
    <t xml:space="preserve">Retained Earnings (Accumulated Deficit)</t>
  </si>
  <si>
    <t xml:space="preserve">AOCI &amp; Other</t>
  </si>
  <si>
    <t xml:space="preserve">Total Equity (Deficit)</t>
  </si>
  <si>
    <t xml:space="preserve">TOTAL LIABILITIES &amp; EQUITY</t>
  </si>
  <si>
    <t xml:space="preserve">KEY CREDIT METRICS  ⚠ High leverage — watch carefully</t>
  </si>
  <si>
    <t xml:space="preserve">Net Debt  (Total Debt − Cash)</t>
  </si>
  <si>
    <t xml:space="preserve">Net Debt / Adj. EBITDA</t>
  </si>
  <si>
    <t xml:space="preserve">Interest Coverage (EBITDA / Interest)</t>
  </si>
  <si>
    <t xml:space="preserve">USA TODAY Co. — Statement of Cash Flows ($M)</t>
  </si>
  <si>
    <t xml:space="preserve">OPERATING ACTIVITIES</t>
  </si>
  <si>
    <t xml:space="preserve">  + D&amp;A</t>
  </si>
  <si>
    <t xml:space="preserve">  + Restructuring &amp; Non-Cash Items</t>
  </si>
  <si>
    <t xml:space="preserve">  + Deferred Taxes &amp; Other Non-Cash</t>
  </si>
  <si>
    <t xml:space="preserve">  Changes in Working Capital</t>
  </si>
  <si>
    <t xml:space="preserve">Net Cash from Operating Activities</t>
  </si>
  <si>
    <t xml:space="preserve">INVESTING ACTIVITIES</t>
  </si>
  <si>
    <t xml:space="preserve">Capital Expenditures</t>
  </si>
  <si>
    <t xml:space="preserve">Asset Sales &amp; Other Investing</t>
  </si>
  <si>
    <t xml:space="preserve">Net Cash from Investing Activities</t>
  </si>
  <si>
    <t xml:space="preserve">FINANCING ACTIVITIES</t>
  </si>
  <si>
    <t xml:space="preserve">Debt Repayments, Net</t>
  </si>
  <si>
    <t xml:space="preserve">Other Financing (shares, leases etc.)</t>
  </si>
  <si>
    <t xml:space="preserve">Net Cash from Financing Activities</t>
  </si>
  <si>
    <t xml:space="preserve">Net Change in Cash</t>
  </si>
  <si>
    <t xml:space="preserve">Beginning Cash</t>
  </si>
  <si>
    <t xml:space="preserve">Ending Cash</t>
  </si>
  <si>
    <t xml:space="preserve">FREE CASH FLOW BRIDGE</t>
  </si>
  <si>
    <t xml:space="preserve">Operating Cash Flow</t>
  </si>
  <si>
    <t xml:space="preserve">Less: Capital Expenditures</t>
  </si>
  <si>
    <t xml:space="preserve">Free Cash Flow (FCF)</t>
  </si>
  <si>
    <t xml:space="preserve">  FCF Margin %</t>
  </si>
  <si>
    <t xml:space="preserve">  FCF per Share ($)</t>
  </si>
  <si>
    <t xml:space="preserve">USA TODAY Co. — EPS &amp; Profitability Summary</t>
  </si>
  <si>
    <t xml:space="preserve">Metric</t>
  </si>
  <si>
    <t xml:space="preserve">PER SHARE METRICS ($ per share)</t>
  </si>
  <si>
    <t xml:space="preserve">FCF per Share</t>
  </si>
  <si>
    <t xml:space="preserve">  GAAP EPS Growth YoY</t>
  </si>
  <si>
    <t xml:space="preserve">INCOME &amp; CASH FLOW METRICS ($M)</t>
  </si>
  <si>
    <t xml:space="preserve">Adj. EBITDA</t>
  </si>
  <si>
    <t xml:space="preserve">EBIT</t>
  </si>
  <si>
    <t xml:space="preserve">GAAP Net Income</t>
  </si>
  <si>
    <t xml:space="preserve">Free Cash Flow</t>
  </si>
  <si>
    <t xml:space="preserve">MARGIN ANALYSIS</t>
  </si>
  <si>
    <t xml:space="preserve">EBIT Margin %</t>
  </si>
  <si>
    <t xml:space="preserve">GAAP Net Margin %</t>
  </si>
  <si>
    <t xml:space="preserve">FCF Margin %</t>
  </si>
  <si>
    <t xml:space="preserve">DEBT &amp; LEVERAGE</t>
  </si>
  <si>
    <t xml:space="preserve">Net Debt ($M)</t>
  </si>
  <si>
    <t xml:space="preserve">USA TODAY Co. — Valuation: DCF + EV/EBITDA + P/E</t>
  </si>
  <si>
    <t xml:space="preserve">All prices in $ per share | Figures in $M | ⚠ High uncertainty — wide sensitivity range expected</t>
  </si>
  <si>
    <t xml:space="preserve">DCF VALUATION — FREE CASH FLOW METHOD</t>
  </si>
  <si>
    <t xml:space="preserve">Free Cash Flow ($M)</t>
  </si>
  <si>
    <t xml:space="preserve">Discount Period</t>
  </si>
  <si>
    <t xml:space="preserve">Discount Factor</t>
  </si>
  <si>
    <t xml:space="preserve">PV of FCF ($M)</t>
  </si>
  <si>
    <t xml:space="preserve">Sum of PV(FCF) ($M)</t>
  </si>
  <si>
    <t xml:space="preserve">TERMINAL VALUE (Gordon Growth)</t>
  </si>
  <si>
    <t xml:space="preserve">Terminal Year FCF ($M)  [FY2030E]</t>
  </si>
  <si>
    <t xml:space="preserve">Terminal Value ($M)  =  FCF*(1+g)/(WACC-g)</t>
  </si>
  <si>
    <t xml:space="preserve">PV of Terminal Value ($M)</t>
  </si>
  <si>
    <t xml:space="preserve">DCF → EQUITY VALUE → SHARE PRICE</t>
  </si>
  <si>
    <t xml:space="preserve">Enterprise Value — DCF ($M)</t>
  </si>
  <si>
    <t xml:space="preserve">Less: Net Debt — FY2025E ($M)</t>
  </si>
  <si>
    <t xml:space="preserve">Equity Value — DCF ($M)</t>
  </si>
  <si>
    <t xml:space="preserve">Diluted Shares (M)</t>
  </si>
  <si>
    <t xml:space="preserve">★  DCF Implied Share Price</t>
  </si>
  <si>
    <t xml:space="preserve">EV/EBITDA VALUATION</t>
  </si>
  <si>
    <t xml:space="preserve">Adj. EBITDA ($M)</t>
  </si>
  <si>
    <t xml:space="preserve">EV/EBITDA Multiple</t>
  </si>
  <si>
    <t xml:space="preserve">Implied EV ($M)</t>
  </si>
  <si>
    <t xml:space="preserve">Less: Net Debt ($M)</t>
  </si>
  <si>
    <t xml:space="preserve">★  EV/EBITDA Implied Share Price</t>
  </si>
  <si>
    <t xml:space="preserve">P/E VALUATION  (NOTE: only meaningful in profitable years)</t>
  </si>
  <si>
    <t xml:space="preserve">GAAP EPS</t>
  </si>
  <si>
    <t xml:space="preserve">Target P/E Multiple</t>
  </si>
  <si>
    <t xml:space="preserve">★  P/E Implied Share Price  (EPS × P/E)</t>
  </si>
  <si>
    <t xml:space="preserve">SHARE PRICE SUMMARY — ALL METHODS</t>
  </si>
  <si>
    <t xml:space="preserve">Method</t>
  </si>
  <si>
    <t xml:space="preserve">DCF (Gordon Growth, single point)</t>
  </si>
  <si>
    <t xml:space="preserve">EV/EBITDA</t>
  </si>
  <si>
    <t xml:space="preserve">P/E × GAAP EPS</t>
  </si>
  <si>
    <t xml:space="preserve">Blended (EV/EBITDA + P/E average)</t>
  </si>
  <si>
    <t xml:space="preserve">SENSITIVITY — DCF: WACC (cols) vs Terminal Growth Rate (rows)</t>
  </si>
  <si>
    <t xml:space="preserve">WACC →  /  TGR ↓</t>
  </si>
  <si>
    <t xml:space="preserve">SENSITIVITY — EV/EBITDA PRICE (FY2028E): EBITDA Margin (rows) vs EV Multiple (cols)</t>
  </si>
  <si>
    <t xml:space="preserve">EBITDA Margin →  /  EV Mult ↓</t>
  </si>
  <si>
    <t xml:space="preserve">4.0x</t>
  </si>
  <si>
    <t xml:space="preserve">5.0x</t>
  </si>
  <si>
    <t xml:space="preserve">6.0x</t>
  </si>
  <si>
    <t xml:space="preserve">7.0x</t>
  </si>
  <si>
    <t xml:space="preserve">8.0x</t>
  </si>
  <si>
    <t xml:space="preserve">Valuation assumptions &amp; notes:</t>
  </si>
  <si>
    <t xml:space="preserve">  • WACC 10%: Higher than sector avg due to leverage risk, debt refinancing overhang (2027 Notes, 2029 Term Loan), and structural print decline.</t>
  </si>
  <si>
    <t xml:space="preserve">  • Terminal growth 1%: Conservative — reflects a smaller, largely-digital business stabilising at low growth. 2.5% would be aggressive given print secular decline.</t>
  </si>
  <si>
    <t xml:space="preserve">  • EV/EBITDA 6x: Legacy media comps trade 4-7x (Lee Enterprises ~5x, NY Times ~15x as premium digital). 6x assumes successful digital pivot, not full legacy discount.</t>
  </si>
  <si>
    <t xml:space="preserve">  • P/E 15x: Only applicable in years where GAAP EPS &gt; 0. Note EPS is very sensitive to restructuring charges and D&amp;A of intangibles.</t>
  </si>
  <si>
    <t xml:space="preserve">  • Net debt anchored to FY2025E; assumes continued debt paydown per mgmt guidance (~$135-140M/yr).</t>
  </si>
  <si>
    <t xml:space="preserve">  • ⚠ KEY RISK: If print declines faster than model or digital growth disappoints, EBITDA compresses and debt coverage weakens materially.</t>
  </si>
  <si>
    <t xml:space="preserve">  • ⚠ KEY UPSIDE: AI content licensing (Meta, Microsoft, Perplexity deals already done) and LocaliQ digital marketing recovery not fully captured.</t>
  </si>
  <si>
    <t xml:space="preserve">  • Consensus analyst target: ~$8.37 (12 analysts, Jun 2026). Current price: ~$7.45-7.85.</t>
  </si>
  <si>
    <t xml:space="preserve">  • Source: TDAY 2024 10-K (SEC EDGAR, 2025-02-20) | Q2 2025 Earnings Release (2025-07-31) | Q4 2025 highlights</t>
  </si>
  <si>
    <t xml:space="preserve">TDAY — Google Lawsuit Win + Short Squeeze: Event-Driven Price Target Model</t>
  </si>
  <si>
    <t xml:space="preserve">This is an event-driven thesis — not a standard DCF. Price targets driven by lawsuit catalyst, short covering, and multiple re-rating.</t>
  </si>
  <si>
    <t xml:space="preserve">THE INVESTMENT THESIS</t>
  </si>
  <si>
    <t xml:space="preserve">▶  Catalyst 1: Google Lawsuit</t>
  </si>
  <si>
    <t xml:space="preserve">Gannett/TDAY is suing Google for antitrust violations in the digital advertising market. A favourable ruling or settlement could deliver a substantial cash payment — estimates range from $500M to $2B+ depending on damages. This would effectively wipe out most of the remaining debt (~$870M FY2026E) and transform the balance sheet overnight.</t>
  </si>
  <si>
    <t xml:space="preserve">▶  Catalyst 2: Short Squeeze</t>
  </si>
  <si>
    <t xml:space="preserve">~12% of TDAY's float is sold short. If the lawsuit outcome surprises to the upside, shorts must cover rapidly. With a relatively small float (~149M shares, ~$1.2B market cap), even moderate buying pressure from covering shorts could drive a disproportionate price move. Historical short squeezes in small/mid-cap stocks have produced 50-200%+ moves in weeks.</t>
  </si>
  <si>
    <t xml:space="preserve">▶  Catalyst 3: Multiple Re-rating</t>
  </si>
  <si>
    <t xml:space="preserve">Post-lawsuit, the market would likely re-price TDAY from a 'distressed legacy media' multiple (~6-7x EBITDA) to a 'digital media turnaround' multiple (~10-12x EBITDA), similar to how the NYT re-rated when digital subs crossed 50% of revenue. Digital revenue is already 56% of total and growing.</t>
  </si>
  <si>
    <t xml:space="preserve">▶  Your Price Targets</t>
  </si>
  <si>
    <t xml:space="preserve">End of 2026: $9-12 (lawsuit catalyst plays out, shorts begin covering). By 2028: $25-30 (full re-rating as digital business recognised, debt clean, short interest normalised). This implies roughly 3x from current ~$8.15.</t>
  </si>
  <si>
    <t xml:space="preserve">GOOGLE LAWSUIT — SETTLEMENT SCENARIO ANALYSIS</t>
  </si>
  <si>
    <t xml:space="preserve">Scenario</t>
  </si>
  <si>
    <t xml:space="preserve">Probability</t>
  </si>
  <si>
    <t xml:space="preserve">Settlement ($M)</t>
  </si>
  <si>
    <t xml:space="preserve">After-Tax Proceeds ($M)</t>
  </si>
  <si>
    <t xml:space="preserve">Debt Paid Off</t>
  </si>
  <si>
    <t xml:space="preserve">Remaining Net Cash ($M)</t>
  </si>
  <si>
    <t xml:space="preserve">EPS Impact (one-time)</t>
  </si>
  <si>
    <t xml:space="preserve">Bear — Dismissed / No Win</t>
  </si>
  <si>
    <t xml:space="preserve">None</t>
  </si>
  <si>
    <t xml:space="preserve">Base — Small Settlement</t>
  </si>
  <si>
    <t xml:space="preserve">Partial</t>
  </si>
  <si>
    <t xml:space="preserve">Base+ — Medium Settlement</t>
  </si>
  <si>
    <t xml:space="preserve">Full</t>
  </si>
  <si>
    <t xml:space="preserve">Bull — Large Settlement</t>
  </si>
  <si>
    <t xml:space="preserve">Full+</t>
  </si>
  <si>
    <t xml:space="preserve">Bull+ — Landmark Ruling</t>
  </si>
  <si>
    <t xml:space="preserve">Full++</t>
  </si>
  <si>
    <t xml:space="preserve">Probability-Weighted Expected Proceeds ($M)</t>
  </si>
  <si>
    <t xml:space="preserve">SHORT SQUEEZE MECHANICS</t>
  </si>
  <si>
    <t xml:space="preserve">Current</t>
  </si>
  <si>
    <t xml:space="preserve">Post-Catalyst (Base)</t>
  </si>
  <si>
    <t xml:space="preserve">Post-Catalyst (Bull)</t>
  </si>
  <si>
    <t xml:space="preserve">Short Interest (% of Float)</t>
  </si>
  <si>
    <t xml:space="preserve">~12%</t>
  </si>
  <si>
    <t xml:space="preserve">~6%</t>
  </si>
  <si>
    <t xml:space="preserve">~2%</t>
  </si>
  <si>
    <t xml:space="preserve">Shares Short (approx.)</t>
  </si>
  <si>
    <t xml:space="preserve">~18M</t>
  </si>
  <si>
    <t xml:space="preserve">~9M</t>
  </si>
  <si>
    <t xml:space="preserve">~3M</t>
  </si>
  <si>
    <t xml:space="preserve">Shares to Cover (vs current)</t>
  </si>
  <si>
    <t xml:space="preserve">—</t>
  </si>
  <si>
    <t xml:space="preserve">~15M</t>
  </si>
  <si>
    <t xml:space="preserve">Days to Cover (est.)</t>
  </si>
  <si>
    <t xml:space="preserve">~5-7 days</t>
  </si>
  <si>
    <t xml:space="preserve">~2-3 days</t>
  </si>
  <si>
    <t xml:space="preserve">&lt;1 day</t>
  </si>
  <si>
    <t xml:space="preserve">Typical Squeeze Price Amplifier</t>
  </si>
  <si>
    <t xml:space="preserve">1.0x</t>
  </si>
  <si>
    <t xml:space="preserve">1.3-1.5x</t>
  </si>
  <si>
    <t xml:space="preserve">1.8-2.5x</t>
  </si>
  <si>
    <t xml:space="preserve">Estimated Price Impact (squeeze only)</t>
  </si>
  <si>
    <t xml:space="preserve">$0</t>
  </si>
  <si>
    <t xml:space="preserve">+$1-3</t>
  </si>
  <si>
    <t xml:space="preserve">+$4-8</t>
  </si>
  <si>
    <t xml:space="preserve">PRICE TARGET BUILD — END OF 2026  (Your Target: $9-12)</t>
  </si>
  <si>
    <t xml:space="preserve">Driver</t>
  </si>
  <si>
    <t xml:space="preserve">Bear</t>
  </si>
  <si>
    <t xml:space="preserve">Base</t>
  </si>
  <si>
    <t xml:space="preserve">Bull</t>
  </si>
  <si>
    <t xml:space="preserve">Bull+</t>
  </si>
  <si>
    <t xml:space="preserve">EV/EBITDA Fundamental Value</t>
  </si>
  <si>
    <t xml:space="preserve">$5-6</t>
  </si>
  <si>
    <t xml:space="preserve">$8-9</t>
  </si>
  <si>
    <t xml:space="preserve">$10-11</t>
  </si>
  <si>
    <t xml:space="preserve">$12-14</t>
  </si>
  <si>
    <t xml:space="preserve">Lawsuit Settlement Premium</t>
  </si>
  <si>
    <t xml:space="preserve">$1-2</t>
  </si>
  <si>
    <t xml:space="preserve">$3-5</t>
  </si>
  <si>
    <t xml:space="preserve">$6-10</t>
  </si>
  <si>
    <t xml:space="preserve">Short Squeeze Premium</t>
  </si>
  <si>
    <t xml:space="preserve">$2-4</t>
  </si>
  <si>
    <t xml:space="preserve">$4-8</t>
  </si>
  <si>
    <t xml:space="preserve">Total 2026 Price Target</t>
  </si>
  <si>
    <t xml:space="preserve">$9-12</t>
  </si>
  <si>
    <t xml:space="preserve">$14-18</t>
  </si>
  <si>
    <t xml:space="preserve">$20-30</t>
  </si>
  <si>
    <t xml:space="preserve">PRICE TARGET BUILD — 2028  (Your Target: $25-30)</t>
  </si>
  <si>
    <t xml:space="preserve">Fundamental EV/EBITDA (10x, no lawsuit)</t>
  </si>
  <si>
    <t xml:space="preserve">$10-12</t>
  </si>
  <si>
    <t xml:space="preserve">$18-22</t>
  </si>
  <si>
    <t xml:space="preserve">$22-26</t>
  </si>
  <si>
    <t xml:space="preserve">$28-34</t>
  </si>
  <si>
    <t xml:space="preserve">Balance Sheet Cleanup (debt paydown)</t>
  </si>
  <si>
    <t xml:space="preserve">$0-1</t>
  </si>
  <si>
    <t xml:space="preserve">$2-3</t>
  </si>
  <si>
    <t xml:space="preserve">$5-8</t>
  </si>
  <si>
    <t xml:space="preserve">Multiple Re-rating (digital recognition)</t>
  </si>
  <si>
    <t xml:space="preserve">$8-15</t>
  </si>
  <si>
    <t xml:space="preserve">Lawsuit Residual / Cash Deployment</t>
  </si>
  <si>
    <t xml:space="preserve">$1-3</t>
  </si>
  <si>
    <t xml:space="preserve">$3-6</t>
  </si>
  <si>
    <t xml:space="preserve">$6-12</t>
  </si>
  <si>
    <t xml:space="preserve">Total 2028 Price Target</t>
  </si>
  <si>
    <t xml:space="preserve">$10-13</t>
  </si>
  <si>
    <t xml:space="preserve">$22-30</t>
  </si>
  <si>
    <t xml:space="preserve">$30-40</t>
  </si>
  <si>
    <t xml:space="preserve">$45-65</t>
  </si>
  <si>
    <t xml:space="preserve">QUANTITATIVE PRICE MODEL — EV/EBITDA × MULTIPLE SCENARIOS (Per Share)</t>
  </si>
  <si>
    <t xml:space="preserve">EV/EBITDA Multiple →</t>
  </si>
  <si>
    <t xml:space="preserve">6x</t>
  </si>
  <si>
    <t xml:space="preserve">7x</t>
  </si>
  <si>
    <t xml:space="preserve">8x</t>
  </si>
  <si>
    <t xml:space="preserve">10x</t>
  </si>
  <si>
    <t xml:space="preserve">12x</t>
  </si>
  <si>
    <t xml:space="preserve">14x</t>
  </si>
  <si>
    <t xml:space="preserve">── FY2026E  (EBITDA ~$306M, Net Debt ~$795M) ──</t>
  </si>
  <si>
    <t xml:space="preserve">EBITDA $270M (bear)</t>
  </si>
  <si>
    <t xml:space="preserve">EBITDA $306M (base)</t>
  </si>
  <si>
    <t xml:space="preserve">EBITDA $350M (bull)</t>
  </si>
  <si>
    <t xml:space="preserve">── FY2028E  (EBITDA ~$338M, Net Debt ~$500M base / ~$0 if lawsuit won) ──</t>
  </si>
  <si>
    <t xml:space="preserve">EBITDA $300M, ND $500M (bear)</t>
  </si>
  <si>
    <t xml:space="preserve">EBITDA $338M, ND $500M (base)</t>
  </si>
  <si>
    <t xml:space="preserve">EBITDA $370M, ND $200M (bull — lawsuit partial)</t>
  </si>
  <si>
    <t xml:space="preserve">EBITDA $400M, ND $0   (bull+ — lawsuit won)</t>
  </si>
  <si>
    <t xml:space="preserve">KEY MILESTONES &amp; TRIGGERS TO WATCH</t>
  </si>
  <si>
    <t xml:space="preserve">Timeframe</t>
  </si>
  <si>
    <t xml:space="preserve">Milestone / What to Watch</t>
  </si>
  <si>
    <t xml:space="preserve">Q3/Q4 2025</t>
  </si>
  <si>
    <t xml:space="preserve">Lawsuit: Court ruling on discovery / summary judgment motions. First signal of Google's liability exposure.</t>
  </si>
  <si>
    <t xml:space="preserve">Short interest: Watch for reduction from 12% — early shorts covering before the ruling is a bullish signal.</t>
  </si>
  <si>
    <t xml:space="preserve">Q1 2026</t>
  </si>
  <si>
    <t xml:space="preserve">Digital revenue: Must show &gt;57% of total revenue and EBITDA margin &gt;13% to support $9+ fundamental valuation.</t>
  </si>
  <si>
    <t xml:space="preserve">H1 2026</t>
  </si>
  <si>
    <t xml:space="preserve">Lawsuit: Settlement talks or trial verdict. A settlement announcement alone could trigger 30-50% move intraday.</t>
  </si>
  <si>
    <t xml:space="preserve">H2 2026</t>
  </si>
  <si>
    <t xml:space="preserve">Debt: First lien leverage target of ~2x EBITDA (from mgmt guidance). Achieving this re-rates the stock.</t>
  </si>
  <si>
    <t xml:space="preserve">2027-2028</t>
  </si>
  <si>
    <t xml:space="preserve">Digital subs ARPU: Watch for &gt;$14/month (currently ~$10). This drives both revenue stability and multiple expansion.</t>
  </si>
  <si>
    <t xml:space="preserve">2028</t>
  </si>
  <si>
    <t xml:space="preserve">Multiple re-rating: If digital revenue &gt;70% of total AND EBITDA margin &gt;16%, market likely awards 10-12x EBITDA vs current 7x.</t>
  </si>
  <si>
    <t xml:space="preserve">RISK FACTORS  ⚠</t>
  </si>
  <si>
    <t xml:space="preserve">⚠  Lawsuit dismissed</t>
  </si>
  <si>
    <t xml:space="preserve">Google wins the case or it settles for &lt;$200M. Stock likely falls to $4-6 as the re-rating thesis evaporates.</t>
  </si>
  <si>
    <t xml:space="preserve">⚠  Print decline accelerates</t>
  </si>
  <si>
    <t xml:space="preserve">If print revenue falls &gt;20%/yr (vs modelled 15%), EBITDA compresses and debt coverage weakens — possible covenant breach.</t>
  </si>
  <si>
    <t xml:space="preserve">⚠  Debt refinancing risk</t>
  </si>
  <si>
    <t xml:space="preserve">TDAY has notes due 2027 and term loans due 2029. If refinanced at higher rates, interest expense rises ~$20-40M/yr — ~$0.13-0.27/share hit to EPS.</t>
  </si>
  <si>
    <t xml:space="preserve">⚠  Digital growth stalls</t>
  </si>
  <si>
    <t xml:space="preserve">Digital-only subs fell 27% YoY in Q4 2024 (offset by 24% ARPU rise). If ARPU growth plateaus, total digital revenue misses.</t>
  </si>
  <si>
    <t xml:space="preserve">⚠  Short squeeze cuts both ways</t>
  </si>
  <si>
    <t xml:space="preserve">If the thesis fails, 12% short interest means forced selling is already embedded — a negative catalyst could see a sharp leg down.</t>
  </si>
  <si>
    <t xml:space="preserve">Sources: TDAY 2024 10-K | Q2 2025 Earnings | Gannett v. Google antitrust filings | Short interest data (FINRA, Jun 2026)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</si>
</sst>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;\(#,##0\);\-"/>
    <numFmt numFmtId="166" formatCode="0.0%"/>
    <numFmt numFmtId="167" formatCode="0.0\x"/>
    <numFmt numFmtId="168" formatCode="#,##0.0"/>
    <numFmt numFmtId="169" formatCode="\$#,##0.00"/>
    <numFmt numFmtId="170" formatCode="0"/>
    <numFmt numFmtId="171" formatCode="0.0000"/>
    <numFmt numFmtId="172" formatCode="#,##0;\(#,##0\);\-"/>
    <numFmt numFmtId="173" formatCode="\$#,##0.0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libri"/>
      <family val="0"/>
      <charset val="1"/>
    </font>
    <font>
      <i val="true"/>
      <sz val="9"/>
      <color rgb="FF59595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9"/>
      <color rgb="FFC00000"/>
      <name val="Calibri"/>
      <family val="0"/>
      <charset val="1"/>
    </font>
    <font>
      <sz val="10"/>
      <color rgb="FF375623"/>
      <name val="Calibri"/>
      <family val="0"/>
      <charset val="1"/>
    </font>
    <font>
      <i val="true"/>
      <sz val="10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375623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9"/>
      <color rgb="FF000000"/>
      <name val="Calibri"/>
      <family val="0"/>
      <charset val="1"/>
    </font>
    <font>
      <sz val="10"/>
      <color rgb="FFC00000"/>
      <name val="Calibri"/>
      <family val="0"/>
      <charset val="1"/>
    </font>
    <font>
      <b val="true"/>
      <sz val="10"/>
      <color rgb="FFC00000"/>
      <name val="Calibri"/>
      <family val="0"/>
      <charset val="1"/>
    </font>
    <font>
      <b val="true"/>
      <sz val="10"/>
      <color rgb="FF1F3864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6E4F0"/>
        <bgColor rgb="FFE2EFDA"/>
      </patternFill>
    </fill>
    <fill>
      <patternFill patternType="solid">
        <fgColor rgb="FFFFE699"/>
        <bgColor rgb="FFFFF2CC"/>
      </patternFill>
    </fill>
    <fill>
      <patternFill patternType="solid">
        <fgColor rgb="FFBDD7EE"/>
        <bgColor rgb="FFD6E4F0"/>
      </patternFill>
    </fill>
    <fill>
      <patternFill patternType="solid">
        <fgColor rgb="FFE2EFDA"/>
        <bgColor rgb="FFEBF3FB"/>
      </patternFill>
    </fill>
    <fill>
      <patternFill patternType="solid">
        <fgColor rgb="FFFCE4D6"/>
        <bgColor rgb="FFFFF2CC"/>
      </patternFill>
    </fill>
    <fill>
      <patternFill patternType="solid">
        <fgColor rgb="FFEBF3FB"/>
        <bgColor rgb="FFE2EFDA"/>
      </patternFill>
    </fill>
    <fill>
      <patternFill patternType="solid">
        <fgColor rgb="FFFFF2CC"/>
        <bgColor rgb="FFFCE4D6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1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1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8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8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9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8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8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9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8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8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3" fontId="17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1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3" fontId="11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E6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J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10" min="2" style="1" width="12"/>
  </cols>
  <sheetData>
    <row r="1" customFormat="false" ht="18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25.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customFormat="false" ht="15" hidden="false" customHeight="true" outlineLevel="0" collapsed="false">
      <c r="A5" s="5" t="s">
        <v>12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5" hidden="false" customHeight="true" outlineLevel="0" collapsed="false">
      <c r="A6" s="7" t="s">
        <v>13</v>
      </c>
      <c r="B6" s="8" t="n">
        <v>2900</v>
      </c>
      <c r="C6" s="8" t="n">
        <v>2660</v>
      </c>
      <c r="D6" s="8" t="n">
        <v>2500</v>
      </c>
      <c r="E6" s="8" t="n">
        <v>2360</v>
      </c>
      <c r="F6" s="8" t="n">
        <v>2250</v>
      </c>
      <c r="G6" s="8" t="n">
        <v>2165</v>
      </c>
      <c r="H6" s="8" t="n">
        <v>2110</v>
      </c>
      <c r="I6" s="8" t="n">
        <v>2090</v>
      </c>
      <c r="J6" s="8" t="n">
        <v>2100</v>
      </c>
    </row>
    <row r="7" customFormat="false" ht="15" hidden="false" customHeight="true" outlineLevel="0" collapsed="false">
      <c r="A7" s="7" t="s">
        <v>14</v>
      </c>
      <c r="B7" s="9" t="n">
        <v>-0.03</v>
      </c>
      <c r="C7" s="9" t="n">
        <v>-0.083</v>
      </c>
      <c r="D7" s="9" t="n">
        <v>-0.06</v>
      </c>
      <c r="E7" s="9" t="n">
        <v>-0.046</v>
      </c>
      <c r="F7" s="9" t="n">
        <v>-0.04</v>
      </c>
      <c r="G7" s="9" t="n">
        <v>-0.031</v>
      </c>
      <c r="H7" s="9" t="n">
        <v>-0.016</v>
      </c>
      <c r="I7" s="9" t="n">
        <v>-0.005</v>
      </c>
      <c r="J7" s="9" t="n">
        <v>0.005</v>
      </c>
    </row>
    <row r="8" customFormat="false" ht="15" hidden="false" customHeight="true" outlineLevel="0" collapsed="false">
      <c r="A8" s="7" t="s">
        <v>15</v>
      </c>
      <c r="B8" s="8" t="n">
        <v>780</v>
      </c>
      <c r="C8" s="8" t="n">
        <v>920</v>
      </c>
      <c r="D8" s="8" t="n">
        <v>1100</v>
      </c>
      <c r="E8" s="8" t="n">
        <v>1160</v>
      </c>
      <c r="F8" s="8" t="n">
        <v>1260</v>
      </c>
      <c r="G8" s="8" t="n">
        <v>1355</v>
      </c>
      <c r="H8" s="8" t="n">
        <v>1455</v>
      </c>
      <c r="I8" s="8" t="n">
        <v>1555</v>
      </c>
      <c r="J8" s="8" t="n">
        <v>1660</v>
      </c>
    </row>
    <row r="9" customFormat="false" ht="15" hidden="false" customHeight="true" outlineLevel="0" collapsed="false">
      <c r="A9" s="7" t="s">
        <v>16</v>
      </c>
      <c r="B9" s="9" t="n">
        <v>0.269</v>
      </c>
      <c r="C9" s="9" t="n">
        <v>0.346</v>
      </c>
      <c r="D9" s="9" t="n">
        <v>0.44</v>
      </c>
      <c r="E9" s="9" t="n">
        <v>0.492</v>
      </c>
      <c r="F9" s="9" t="n">
        <v>0.56</v>
      </c>
      <c r="G9" s="9" t="n">
        <v>0.626</v>
      </c>
      <c r="H9" s="9" t="n">
        <v>0.69</v>
      </c>
      <c r="I9" s="9" t="n">
        <v>0.744</v>
      </c>
      <c r="J9" s="9" t="n">
        <v>0.79</v>
      </c>
    </row>
    <row r="10" customFormat="false" ht="15" hidden="false" customHeight="true" outlineLevel="0" collapsed="false">
      <c r="A10" s="7" t="s">
        <v>17</v>
      </c>
      <c r="B10" s="8" t="n">
        <v>2120</v>
      </c>
      <c r="C10" s="8" t="n">
        <v>1740</v>
      </c>
      <c r="D10" s="8" t="n">
        <v>1400</v>
      </c>
      <c r="E10" s="8" t="n">
        <v>1200</v>
      </c>
      <c r="F10" s="8" t="n">
        <v>990</v>
      </c>
      <c r="G10" s="8" t="n">
        <v>810</v>
      </c>
      <c r="H10" s="8" t="n">
        <v>655</v>
      </c>
      <c r="I10" s="8" t="n">
        <v>535</v>
      </c>
      <c r="J10" s="8" t="n">
        <v>440</v>
      </c>
    </row>
    <row r="11" customFormat="false" ht="15" hidden="false" customHeight="true" outlineLevel="0" collapsed="false">
      <c r="A11" s="7" t="s">
        <v>18</v>
      </c>
      <c r="B11" s="9" t="n">
        <v>-0.1</v>
      </c>
      <c r="C11" s="9" t="n">
        <v>-0.179</v>
      </c>
      <c r="D11" s="9" t="n">
        <v>-0.195</v>
      </c>
      <c r="E11" s="9" t="n">
        <v>-0.136</v>
      </c>
      <c r="F11" s="9" t="n">
        <v>-0.149</v>
      </c>
      <c r="G11" s="9" t="n">
        <v>-0.16</v>
      </c>
      <c r="H11" s="9" t="n">
        <v>-0.156</v>
      </c>
      <c r="I11" s="9" t="n">
        <v>-0.151</v>
      </c>
      <c r="J11" s="9" t="n">
        <v>-0.153</v>
      </c>
    </row>
    <row r="13" customFormat="false" ht="15" hidden="false" customHeight="true" outlineLevel="0" collapsed="false">
      <c r="A13" s="5" t="s">
        <v>19</v>
      </c>
      <c r="B13" s="6"/>
      <c r="C13" s="6"/>
      <c r="D13" s="6"/>
      <c r="E13" s="6"/>
      <c r="F13" s="6"/>
      <c r="G13" s="6"/>
      <c r="H13" s="6"/>
      <c r="I13" s="6"/>
      <c r="J13" s="6"/>
    </row>
    <row r="14" customFormat="false" ht="15" hidden="false" customHeight="true" outlineLevel="0" collapsed="false">
      <c r="A14" s="7" t="s">
        <v>20</v>
      </c>
      <c r="B14" s="9" t="n">
        <v>0.36</v>
      </c>
      <c r="C14" s="9" t="n">
        <v>0.375</v>
      </c>
      <c r="D14" s="9" t="n">
        <v>0.387</v>
      </c>
      <c r="E14" s="9" t="n">
        <v>0.4</v>
      </c>
      <c r="F14" s="9" t="n">
        <v>0.415</v>
      </c>
      <c r="G14" s="9" t="n">
        <v>0.428</v>
      </c>
      <c r="H14" s="9" t="n">
        <v>0.44</v>
      </c>
      <c r="I14" s="9" t="n">
        <v>0.45</v>
      </c>
      <c r="J14" s="9" t="n">
        <v>0.458</v>
      </c>
    </row>
    <row r="15" customFormat="false" ht="15" hidden="false" customHeight="true" outlineLevel="0" collapsed="false">
      <c r="A15" s="7" t="s">
        <v>21</v>
      </c>
      <c r="B15" s="9" t="n">
        <v>0.088</v>
      </c>
      <c r="C15" s="9" t="n">
        <v>0.099</v>
      </c>
      <c r="D15" s="9" t="n">
        <v>0.108</v>
      </c>
      <c r="E15" s="9" t="n">
        <v>0.118</v>
      </c>
      <c r="F15" s="9" t="n">
        <v>0.136</v>
      </c>
      <c r="G15" s="9" t="n">
        <v>0.148</v>
      </c>
      <c r="H15" s="9" t="n">
        <v>0.16</v>
      </c>
      <c r="I15" s="9" t="n">
        <v>0.17</v>
      </c>
      <c r="J15" s="9" t="n">
        <v>0.178</v>
      </c>
    </row>
    <row r="16" customFormat="false" ht="15" hidden="false" customHeight="true" outlineLevel="0" collapsed="false">
      <c r="A16" s="7" t="s">
        <v>22</v>
      </c>
      <c r="B16" s="8" t="n">
        <v>210</v>
      </c>
      <c r="C16" s="8" t="n">
        <v>200</v>
      </c>
      <c r="D16" s="8" t="n">
        <v>195</v>
      </c>
      <c r="E16" s="8" t="n">
        <v>185</v>
      </c>
      <c r="F16" s="8" t="n">
        <v>175</v>
      </c>
      <c r="G16" s="8" t="n">
        <v>165</v>
      </c>
      <c r="H16" s="8" t="n">
        <v>155</v>
      </c>
      <c r="I16" s="8" t="n">
        <v>145</v>
      </c>
      <c r="J16" s="8" t="n">
        <v>140</v>
      </c>
    </row>
    <row r="17" customFormat="false" ht="15" hidden="false" customHeight="true" outlineLevel="0" collapsed="false">
      <c r="A17" s="7" t="s">
        <v>23</v>
      </c>
      <c r="B17" s="8" t="n">
        <v>128</v>
      </c>
      <c r="C17" s="8" t="n">
        <v>130</v>
      </c>
      <c r="D17" s="8" t="n">
        <v>132</v>
      </c>
      <c r="E17" s="8" t="n">
        <v>122</v>
      </c>
      <c r="F17" s="8" t="n">
        <v>110</v>
      </c>
      <c r="G17" s="8" t="n">
        <v>98</v>
      </c>
      <c r="H17" s="8" t="n">
        <v>82</v>
      </c>
      <c r="I17" s="8" t="n">
        <v>68</v>
      </c>
      <c r="J17" s="8" t="n">
        <v>55</v>
      </c>
    </row>
    <row r="18" customFormat="false" ht="15" hidden="false" customHeight="true" outlineLevel="0" collapsed="false">
      <c r="A18" s="7" t="s">
        <v>24</v>
      </c>
      <c r="B18" s="9" t="n">
        <v>0</v>
      </c>
      <c r="C18" s="9" t="n">
        <v>0</v>
      </c>
      <c r="D18" s="9" t="n">
        <v>0.15</v>
      </c>
      <c r="E18" s="9" t="n">
        <v>0.18</v>
      </c>
      <c r="F18" s="9" t="n">
        <v>0.2</v>
      </c>
      <c r="G18" s="9" t="n">
        <v>0.22</v>
      </c>
      <c r="H18" s="9" t="n">
        <v>0.22</v>
      </c>
      <c r="I18" s="9" t="n">
        <v>0.22</v>
      </c>
      <c r="J18" s="9" t="n">
        <v>0.22</v>
      </c>
    </row>
    <row r="19" customFormat="false" ht="15" hidden="false" customHeight="true" outlineLevel="0" collapsed="false">
      <c r="A19" s="7" t="s">
        <v>25</v>
      </c>
      <c r="B19" s="8" t="n">
        <v>85</v>
      </c>
      <c r="C19" s="8" t="n">
        <v>75</v>
      </c>
      <c r="D19" s="8" t="n">
        <v>60</v>
      </c>
      <c r="E19" s="8" t="n">
        <v>70</v>
      </c>
      <c r="F19" s="8" t="n">
        <v>55</v>
      </c>
      <c r="G19" s="8" t="n">
        <v>45</v>
      </c>
      <c r="H19" s="8" t="n">
        <v>35</v>
      </c>
      <c r="I19" s="8" t="n">
        <v>25</v>
      </c>
      <c r="J19" s="8" t="n">
        <v>20</v>
      </c>
    </row>
    <row r="21" customFormat="false" ht="15" hidden="false" customHeight="true" outlineLevel="0" collapsed="false">
      <c r="A21" s="5" t="s">
        <v>26</v>
      </c>
      <c r="B21" s="6"/>
      <c r="C21" s="6"/>
      <c r="D21" s="6"/>
      <c r="E21" s="6"/>
      <c r="F21" s="6"/>
      <c r="G21" s="6"/>
      <c r="H21" s="6"/>
      <c r="I21" s="6"/>
      <c r="J21" s="6"/>
    </row>
    <row r="22" customFormat="false" ht="15" hidden="false" customHeight="true" outlineLevel="0" collapsed="false">
      <c r="A22" s="7" t="s">
        <v>27</v>
      </c>
      <c r="B22" s="8" t="n">
        <v>1400</v>
      </c>
      <c r="C22" s="8" t="n">
        <v>1270</v>
      </c>
      <c r="D22" s="8" t="n">
        <v>1150</v>
      </c>
      <c r="E22" s="8" t="n">
        <v>1010</v>
      </c>
      <c r="F22" s="8" t="n">
        <v>870</v>
      </c>
      <c r="G22" s="8" t="n">
        <v>730</v>
      </c>
      <c r="H22" s="8" t="n">
        <v>590</v>
      </c>
      <c r="I22" s="8" t="n">
        <v>460</v>
      </c>
      <c r="J22" s="8" t="n">
        <v>340</v>
      </c>
    </row>
    <row r="23" customFormat="false" ht="15" hidden="false" customHeight="true" outlineLevel="0" collapsed="false">
      <c r="A23" s="7" t="s">
        <v>28</v>
      </c>
      <c r="B23" s="8" t="n">
        <v>130</v>
      </c>
      <c r="C23" s="8" t="n">
        <v>130</v>
      </c>
      <c r="D23" s="8" t="n">
        <v>120</v>
      </c>
      <c r="E23" s="8" t="n">
        <v>140</v>
      </c>
      <c r="F23" s="8" t="n">
        <v>140</v>
      </c>
      <c r="G23" s="8" t="n">
        <v>140</v>
      </c>
      <c r="H23" s="8" t="n">
        <v>140</v>
      </c>
      <c r="I23" s="8" t="n">
        <v>130</v>
      </c>
      <c r="J23" s="8" t="n">
        <v>120</v>
      </c>
    </row>
    <row r="24" customFormat="false" ht="15" hidden="false" customHeight="true" outlineLevel="0" collapsed="false">
      <c r="A24" s="7" t="s">
        <v>29</v>
      </c>
      <c r="B24" s="8" t="n">
        <v>45</v>
      </c>
      <c r="C24" s="8" t="n">
        <v>40</v>
      </c>
      <c r="D24" s="8" t="n">
        <v>35</v>
      </c>
      <c r="E24" s="8" t="n">
        <v>50</v>
      </c>
      <c r="F24" s="8" t="n">
        <v>55</v>
      </c>
      <c r="G24" s="8" t="n">
        <v>50</v>
      </c>
      <c r="H24" s="8" t="n">
        <v>48</v>
      </c>
      <c r="I24" s="8" t="n">
        <v>45</v>
      </c>
      <c r="J24" s="8" t="n">
        <v>42</v>
      </c>
    </row>
    <row r="25" customFormat="false" ht="15" hidden="false" customHeight="true" outlineLevel="0" collapsed="false">
      <c r="A25" s="7" t="s">
        <v>30</v>
      </c>
      <c r="B25" s="8" t="n">
        <v>-20</v>
      </c>
      <c r="C25" s="8" t="n">
        <v>-15</v>
      </c>
      <c r="D25" s="8" t="n">
        <v>-10</v>
      </c>
      <c r="E25" s="8" t="n">
        <v>-5</v>
      </c>
      <c r="F25" s="8" t="n">
        <v>-5</v>
      </c>
      <c r="G25" s="8" t="n">
        <v>-5</v>
      </c>
      <c r="H25" s="8" t="n">
        <v>0</v>
      </c>
      <c r="I25" s="8" t="n">
        <v>0</v>
      </c>
      <c r="J25" s="8" t="n">
        <v>0</v>
      </c>
    </row>
    <row r="26" customFormat="false" ht="15" hidden="false" customHeight="true" outlineLevel="0" collapsed="false">
      <c r="A26" s="7" t="s">
        <v>31</v>
      </c>
      <c r="B26" s="8" t="n">
        <v>146</v>
      </c>
      <c r="C26" s="8" t="n">
        <v>147</v>
      </c>
      <c r="D26" s="8" t="n">
        <v>147</v>
      </c>
      <c r="E26" s="8" t="n">
        <v>148</v>
      </c>
      <c r="F26" s="8" t="n">
        <v>149</v>
      </c>
      <c r="G26" s="8" t="n">
        <v>150</v>
      </c>
      <c r="H26" s="8" t="n">
        <v>151</v>
      </c>
      <c r="I26" s="8" t="n">
        <v>152</v>
      </c>
      <c r="J26" s="8" t="n">
        <v>153</v>
      </c>
    </row>
    <row r="28" customFormat="false" ht="15" hidden="false" customHeight="true" outlineLevel="0" collapsed="false">
      <c r="A28" s="5" t="s">
        <v>32</v>
      </c>
      <c r="B28" s="6"/>
      <c r="C28" s="6"/>
      <c r="D28" s="6"/>
      <c r="E28" s="6"/>
      <c r="F28" s="6"/>
      <c r="G28" s="6"/>
      <c r="H28" s="6"/>
      <c r="I28" s="6"/>
      <c r="J28" s="6"/>
    </row>
    <row r="29" customFormat="false" ht="15" hidden="false" customHeight="true" outlineLevel="0" collapsed="false">
      <c r="A29" s="7" t="s">
        <v>33</v>
      </c>
      <c r="B29" s="10"/>
      <c r="C29" s="10"/>
      <c r="D29" s="10"/>
      <c r="E29" s="10"/>
      <c r="F29" s="9" t="n">
        <v>0.1</v>
      </c>
      <c r="G29" s="9" t="n">
        <v>0.1</v>
      </c>
      <c r="H29" s="9" t="n">
        <v>0.1</v>
      </c>
      <c r="I29" s="9" t="n">
        <v>0.1</v>
      </c>
      <c r="J29" s="9" t="n">
        <v>0.1</v>
      </c>
    </row>
    <row r="30" customFormat="false" ht="15" hidden="false" customHeight="true" outlineLevel="0" collapsed="false">
      <c r="A30" s="7" t="s">
        <v>34</v>
      </c>
      <c r="B30" s="10"/>
      <c r="C30" s="10"/>
      <c r="D30" s="10"/>
      <c r="E30" s="10"/>
      <c r="F30" s="9" t="n">
        <v>0.005</v>
      </c>
      <c r="G30" s="9" t="n">
        <v>0.005</v>
      </c>
      <c r="H30" s="9" t="n">
        <v>0.005</v>
      </c>
      <c r="I30" s="9" t="n">
        <v>0.005</v>
      </c>
      <c r="J30" s="9" t="n">
        <v>0.005</v>
      </c>
    </row>
    <row r="31" customFormat="false" ht="15" hidden="false" customHeight="true" outlineLevel="0" collapsed="false">
      <c r="A31" s="7" t="s">
        <v>35</v>
      </c>
      <c r="B31" s="10"/>
      <c r="C31" s="10"/>
      <c r="D31" s="10"/>
      <c r="E31" s="10"/>
      <c r="F31" s="11" t="n">
        <v>7</v>
      </c>
      <c r="G31" s="11" t="n">
        <v>8</v>
      </c>
      <c r="H31" s="11" t="n">
        <v>10</v>
      </c>
      <c r="I31" s="11" t="n">
        <v>11</v>
      </c>
      <c r="J31" s="11" t="n">
        <v>12</v>
      </c>
    </row>
    <row r="32" customFormat="false" ht="15" hidden="false" customHeight="true" outlineLevel="0" collapsed="false">
      <c r="A32" s="7" t="s">
        <v>36</v>
      </c>
      <c r="B32" s="10"/>
      <c r="C32" s="10"/>
      <c r="D32" s="10"/>
      <c r="E32" s="10"/>
      <c r="F32" s="11" t="n">
        <v>12</v>
      </c>
      <c r="G32" s="11" t="n">
        <v>12</v>
      </c>
      <c r="H32" s="11" t="n">
        <v>12</v>
      </c>
      <c r="I32" s="11" t="n">
        <v>12</v>
      </c>
      <c r="J32" s="11" t="n">
        <v>12</v>
      </c>
    </row>
    <row r="34" customFormat="false" ht="15" hidden="false" customHeight="true" outlineLevel="0" collapsed="false">
      <c r="A34" s="12" t="s">
        <v>37</v>
      </c>
    </row>
    <row r="35" customFormat="false" ht="15" hidden="false" customHeight="true" outlineLevel="0" collapsed="false">
      <c r="A35" s="3" t="s">
        <v>38</v>
      </c>
    </row>
    <row r="36" customFormat="false" ht="15" hidden="false" customHeight="true" outlineLevel="0" collapsed="false">
      <c r="A36" s="3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J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10" min="2" style="1" width="12"/>
  </cols>
  <sheetData>
    <row r="1" customFormat="false" ht="18" hidden="false" customHeight="true" outlineLevel="0" collapsed="false">
      <c r="A1" s="2" t="s">
        <v>40</v>
      </c>
    </row>
    <row r="2" customFormat="false" ht="15" hidden="false" customHeight="true" outlineLevel="0" collapsed="false">
      <c r="A2" s="3" t="s">
        <v>41</v>
      </c>
    </row>
    <row r="4" customFormat="false" ht="25.5" hidden="false" customHeight="true" outlineLevel="0" collapsed="false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customFormat="false" ht="15" hidden="false" customHeight="true" outlineLevel="0" collapsed="false">
      <c r="A5" s="5" t="s">
        <v>42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5" hidden="false" customHeight="true" outlineLevel="0" collapsed="false">
      <c r="A6" s="7" t="s">
        <v>43</v>
      </c>
      <c r="B6" s="13" t="n">
        <f aca="false">Assumptions!B8</f>
        <v>780</v>
      </c>
      <c r="C6" s="13" t="n">
        <f aca="false">Assumptions!C8</f>
        <v>920</v>
      </c>
      <c r="D6" s="13" t="n">
        <f aca="false">Assumptions!D8</f>
        <v>1100</v>
      </c>
      <c r="E6" s="13" t="n">
        <f aca="false">Assumptions!E8</f>
        <v>1160</v>
      </c>
      <c r="F6" s="13" t="n">
        <f aca="false">Assumptions!F8</f>
        <v>1260</v>
      </c>
      <c r="G6" s="13" t="n">
        <f aca="false">Assumptions!G8</f>
        <v>1355</v>
      </c>
      <c r="H6" s="13" t="n">
        <f aca="false">Assumptions!H8</f>
        <v>1455</v>
      </c>
      <c r="I6" s="13" t="n">
        <f aca="false">Assumptions!I8</f>
        <v>1555</v>
      </c>
      <c r="J6" s="13" t="n">
        <f aca="false">Assumptions!J8</f>
        <v>1660</v>
      </c>
    </row>
    <row r="7" customFormat="false" ht="15" hidden="false" customHeight="true" outlineLevel="0" collapsed="false">
      <c r="A7" s="7" t="s">
        <v>44</v>
      </c>
      <c r="B7" s="13" t="n">
        <f aca="false">Assumptions!B10</f>
        <v>2120</v>
      </c>
      <c r="C7" s="13" t="n">
        <f aca="false">Assumptions!C10</f>
        <v>1740</v>
      </c>
      <c r="D7" s="13" t="n">
        <f aca="false">Assumptions!D10</f>
        <v>1400</v>
      </c>
      <c r="E7" s="13" t="n">
        <f aca="false">Assumptions!E10</f>
        <v>1200</v>
      </c>
      <c r="F7" s="13" t="n">
        <f aca="false">Assumptions!F10</f>
        <v>990</v>
      </c>
      <c r="G7" s="13" t="n">
        <f aca="false">Assumptions!G10</f>
        <v>810</v>
      </c>
      <c r="H7" s="13" t="n">
        <f aca="false">Assumptions!H10</f>
        <v>655</v>
      </c>
      <c r="I7" s="13" t="n">
        <f aca="false">Assumptions!I10</f>
        <v>535</v>
      </c>
      <c r="J7" s="13" t="n">
        <f aca="false">Assumptions!J10</f>
        <v>440</v>
      </c>
    </row>
    <row r="8" customFormat="false" ht="15" hidden="false" customHeight="true" outlineLevel="0" collapsed="false">
      <c r="A8" s="14" t="s">
        <v>45</v>
      </c>
      <c r="B8" s="15" t="n">
        <f aca="false">B6+B7</f>
        <v>2900</v>
      </c>
      <c r="C8" s="15" t="n">
        <f aca="false">C6+C7</f>
        <v>2660</v>
      </c>
      <c r="D8" s="15" t="n">
        <f aca="false">D6+D7</f>
        <v>2500</v>
      </c>
      <c r="E8" s="15" t="n">
        <f aca="false">E6+E7</f>
        <v>2360</v>
      </c>
      <c r="F8" s="15" t="n">
        <f aca="false">F6+F7</f>
        <v>2250</v>
      </c>
      <c r="G8" s="15" t="n">
        <f aca="false">G6+G7</f>
        <v>2165</v>
      </c>
      <c r="H8" s="15" t="n">
        <f aca="false">H6+H7</f>
        <v>2110</v>
      </c>
      <c r="I8" s="15" t="n">
        <f aca="false">I6+I7</f>
        <v>2090</v>
      </c>
      <c r="J8" s="15" t="n">
        <f aca="false">J6+J7</f>
        <v>2100</v>
      </c>
    </row>
    <row r="9" customFormat="false" ht="15" hidden="false" customHeight="true" outlineLevel="0" collapsed="false">
      <c r="A9" s="16" t="s">
        <v>46</v>
      </c>
      <c r="B9" s="17" t="n">
        <f aca="false">B6/B8</f>
        <v>0.268965517241379</v>
      </c>
      <c r="C9" s="17" t="n">
        <f aca="false">C6/C8</f>
        <v>0.345864661654135</v>
      </c>
      <c r="D9" s="17" t="n">
        <f aca="false">D6/D8</f>
        <v>0.44</v>
      </c>
      <c r="E9" s="17" t="n">
        <f aca="false">E6/E8</f>
        <v>0.491525423728814</v>
      </c>
      <c r="F9" s="17" t="n">
        <f aca="false">F6/F8</f>
        <v>0.56</v>
      </c>
      <c r="G9" s="17" t="n">
        <f aca="false">G6/G8</f>
        <v>0.625866050808314</v>
      </c>
      <c r="H9" s="17" t="n">
        <f aca="false">H6/H8</f>
        <v>0.68957345971564</v>
      </c>
      <c r="I9" s="17" t="n">
        <f aca="false">I6/I8</f>
        <v>0.744019138755981</v>
      </c>
      <c r="J9" s="17" t="n">
        <f aca="false">J6/J8</f>
        <v>0.79047619047619</v>
      </c>
    </row>
    <row r="10" customFormat="false" ht="15" hidden="false" customHeight="true" outlineLevel="0" collapsed="false">
      <c r="A10" s="16" t="s">
        <v>14</v>
      </c>
      <c r="B10" s="10"/>
      <c r="C10" s="17" t="n">
        <f aca="false">(C8-B8)/B8</f>
        <v>-0.0827586206896552</v>
      </c>
      <c r="D10" s="17" t="n">
        <f aca="false">(D8-C8)/C8</f>
        <v>-0.0601503759398496</v>
      </c>
      <c r="E10" s="17" t="n">
        <f aca="false">(E8-D8)/D8</f>
        <v>-0.056</v>
      </c>
      <c r="F10" s="17" t="n">
        <f aca="false">(F8-E8)/E8</f>
        <v>-0.0466101694915254</v>
      </c>
      <c r="G10" s="17" t="n">
        <f aca="false">(G8-F8)/F8</f>
        <v>-0.0377777777777778</v>
      </c>
      <c r="H10" s="17" t="n">
        <f aca="false">(H8-G8)/G8</f>
        <v>-0.0254041570438799</v>
      </c>
      <c r="I10" s="17" t="n">
        <f aca="false">(I8-H8)/H8</f>
        <v>-0.00947867298578199</v>
      </c>
      <c r="J10" s="17" t="n">
        <f aca="false">(J8-I8)/I8</f>
        <v>0.00478468899521531</v>
      </c>
    </row>
    <row r="12" customFormat="false" ht="15" hidden="false" customHeight="true" outlineLevel="0" collapsed="false">
      <c r="A12" s="5" t="s">
        <v>47</v>
      </c>
      <c r="B12" s="6"/>
      <c r="C12" s="6"/>
      <c r="D12" s="6"/>
      <c r="E12" s="6"/>
      <c r="F12" s="6"/>
      <c r="G12" s="6"/>
      <c r="H12" s="6"/>
      <c r="I12" s="6"/>
      <c r="J12" s="6"/>
    </row>
    <row r="13" customFormat="false" ht="15" hidden="false" customHeight="true" outlineLevel="0" collapsed="false">
      <c r="A13" s="7" t="s">
        <v>48</v>
      </c>
      <c r="B13" s="18" t="n">
        <f aca="false">-B8*(1-Assumptions!B14)</f>
        <v>-1856</v>
      </c>
      <c r="C13" s="18" t="n">
        <f aca="false">-C8*(1-Assumptions!C14)</f>
        <v>-1662.5</v>
      </c>
      <c r="D13" s="18" t="n">
        <f aca="false">-D8*(1-Assumptions!D14)</f>
        <v>-1532.5</v>
      </c>
      <c r="E13" s="18" t="n">
        <f aca="false">-E8*(1-Assumptions!E14)</f>
        <v>-1416</v>
      </c>
      <c r="F13" s="18" t="n">
        <f aca="false">-F8*(1-Assumptions!F14)</f>
        <v>-1316.25</v>
      </c>
      <c r="G13" s="18" t="n">
        <f aca="false">-G8*(1-Assumptions!G14)</f>
        <v>-1238.38</v>
      </c>
      <c r="H13" s="18" t="n">
        <f aca="false">-H8*(1-Assumptions!H14)</f>
        <v>-1181.6</v>
      </c>
      <c r="I13" s="18" t="n">
        <f aca="false">-I8*(1-Assumptions!I14)</f>
        <v>-1149.5</v>
      </c>
      <c r="J13" s="18" t="n">
        <f aca="false">-J8*(1-Assumptions!J14)</f>
        <v>-1138.2</v>
      </c>
    </row>
    <row r="14" customFormat="false" ht="15" hidden="false" customHeight="true" outlineLevel="0" collapsed="false">
      <c r="A14" s="14" t="s">
        <v>49</v>
      </c>
      <c r="B14" s="15" t="n">
        <f aca="false">B8+B13</f>
        <v>1044</v>
      </c>
      <c r="C14" s="15" t="n">
        <f aca="false">C8+C13</f>
        <v>997.5</v>
      </c>
      <c r="D14" s="15" t="n">
        <f aca="false">D8+D13</f>
        <v>967.5</v>
      </c>
      <c r="E14" s="15" t="n">
        <f aca="false">E8+E13</f>
        <v>944</v>
      </c>
      <c r="F14" s="15" t="n">
        <f aca="false">F8+F13</f>
        <v>933.75</v>
      </c>
      <c r="G14" s="15" t="n">
        <f aca="false">G8+G13</f>
        <v>926.62</v>
      </c>
      <c r="H14" s="15" t="n">
        <f aca="false">H8+H13</f>
        <v>928.4</v>
      </c>
      <c r="I14" s="15" t="n">
        <f aca="false">I8+I13</f>
        <v>940.5</v>
      </c>
      <c r="J14" s="15" t="n">
        <f aca="false">J8+J13</f>
        <v>961.8</v>
      </c>
    </row>
    <row r="15" customFormat="false" ht="15" hidden="false" customHeight="true" outlineLevel="0" collapsed="false">
      <c r="A15" s="16" t="s">
        <v>50</v>
      </c>
      <c r="B15" s="17" t="n">
        <f aca="false">B14/B8</f>
        <v>0.36</v>
      </c>
      <c r="C15" s="17" t="n">
        <f aca="false">C14/C8</f>
        <v>0.375</v>
      </c>
      <c r="D15" s="17" t="n">
        <f aca="false">D14/D8</f>
        <v>0.387</v>
      </c>
      <c r="E15" s="17" t="n">
        <f aca="false">E14/E8</f>
        <v>0.4</v>
      </c>
      <c r="F15" s="17" t="n">
        <f aca="false">F14/F8</f>
        <v>0.415</v>
      </c>
      <c r="G15" s="17" t="n">
        <f aca="false">G14/G8</f>
        <v>0.428</v>
      </c>
      <c r="H15" s="17" t="n">
        <f aca="false">H14/H8</f>
        <v>0.44</v>
      </c>
      <c r="I15" s="17" t="n">
        <f aca="false">I14/I8</f>
        <v>0.45</v>
      </c>
      <c r="J15" s="17" t="n">
        <f aca="false">J14/J8</f>
        <v>0.458</v>
      </c>
    </row>
    <row r="17" customFormat="false" ht="15" hidden="false" customHeight="true" outlineLevel="0" collapsed="false">
      <c r="A17" s="5" t="s">
        <v>51</v>
      </c>
      <c r="B17" s="6"/>
      <c r="C17" s="6"/>
      <c r="D17" s="6"/>
      <c r="E17" s="6"/>
      <c r="F17" s="6"/>
      <c r="G17" s="6"/>
      <c r="H17" s="6"/>
      <c r="I17" s="6"/>
      <c r="J17" s="6"/>
    </row>
    <row r="18" customFormat="false" ht="15" hidden="false" customHeight="true" outlineLevel="0" collapsed="false">
      <c r="A18" s="7" t="s">
        <v>52</v>
      </c>
      <c r="B18" s="18" t="n">
        <f aca="false">-(B14 - Assumptions!B15*B8 - Assumptions!B19)</f>
        <v>-703.8</v>
      </c>
      <c r="C18" s="18" t="n">
        <f aca="false">-(C14 - Assumptions!C15*C8 - Assumptions!C19)</f>
        <v>-659.16</v>
      </c>
      <c r="D18" s="18" t="n">
        <f aca="false">-(D14 - Assumptions!D15*D8 - Assumptions!D19)</f>
        <v>-637.5</v>
      </c>
      <c r="E18" s="18" t="n">
        <f aca="false">-(E14 - Assumptions!E15*E8 - Assumptions!E19)</f>
        <v>-595.52</v>
      </c>
      <c r="F18" s="18" t="n">
        <f aca="false">-(F14 - Assumptions!F15*F8 - Assumptions!F19)</f>
        <v>-572.75</v>
      </c>
      <c r="G18" s="18" t="n">
        <f aca="false">-(G14 - Assumptions!G15*G8 - Assumptions!G19)</f>
        <v>-561.2</v>
      </c>
      <c r="H18" s="18" t="n">
        <f aca="false">-(H14 - Assumptions!H15*H8 - Assumptions!H19)</f>
        <v>-555.8</v>
      </c>
      <c r="I18" s="18" t="n">
        <f aca="false">-(I14 - Assumptions!I15*I8 - Assumptions!I19)</f>
        <v>-560.2</v>
      </c>
      <c r="J18" s="18" t="n">
        <f aca="false">-(J14 - Assumptions!J15*J8 - Assumptions!J19)</f>
        <v>-568</v>
      </c>
    </row>
    <row r="19" customFormat="false" ht="15" hidden="false" customHeight="true" outlineLevel="0" collapsed="false">
      <c r="A19" s="7" t="s">
        <v>53</v>
      </c>
      <c r="B19" s="13" t="n">
        <f aca="false">-Assumptions!B19</f>
        <v>-85</v>
      </c>
      <c r="C19" s="13" t="n">
        <f aca="false">-Assumptions!C19</f>
        <v>-75</v>
      </c>
      <c r="D19" s="13" t="n">
        <f aca="false">-Assumptions!D19</f>
        <v>-60</v>
      </c>
      <c r="E19" s="13" t="n">
        <f aca="false">-Assumptions!E19</f>
        <v>-70</v>
      </c>
      <c r="F19" s="13" t="n">
        <f aca="false">-Assumptions!F19</f>
        <v>-55</v>
      </c>
      <c r="G19" s="13" t="n">
        <f aca="false">-Assumptions!G19</f>
        <v>-45</v>
      </c>
      <c r="H19" s="13" t="n">
        <f aca="false">-Assumptions!H19</f>
        <v>-35</v>
      </c>
      <c r="I19" s="13" t="n">
        <f aca="false">-Assumptions!I19</f>
        <v>-25</v>
      </c>
      <c r="J19" s="13" t="n">
        <f aca="false">-Assumptions!J19</f>
        <v>-20</v>
      </c>
    </row>
    <row r="20" customFormat="false" ht="15" hidden="false" customHeight="true" outlineLevel="0" collapsed="false">
      <c r="A20" s="7" t="s">
        <v>54</v>
      </c>
      <c r="B20" s="13" t="n">
        <f aca="false">-Assumptions!B16</f>
        <v>-210</v>
      </c>
      <c r="C20" s="13" t="n">
        <f aca="false">-Assumptions!C16</f>
        <v>-200</v>
      </c>
      <c r="D20" s="13" t="n">
        <f aca="false">-Assumptions!D16</f>
        <v>-195</v>
      </c>
      <c r="E20" s="13" t="n">
        <f aca="false">-Assumptions!E16</f>
        <v>-185</v>
      </c>
      <c r="F20" s="13" t="n">
        <f aca="false">-Assumptions!F16</f>
        <v>-175</v>
      </c>
      <c r="G20" s="13" t="n">
        <f aca="false">-Assumptions!G16</f>
        <v>-165</v>
      </c>
      <c r="H20" s="13" t="n">
        <f aca="false">-Assumptions!H16</f>
        <v>-155</v>
      </c>
      <c r="I20" s="13" t="n">
        <f aca="false">-Assumptions!I16</f>
        <v>-145</v>
      </c>
      <c r="J20" s="13" t="n">
        <f aca="false">-Assumptions!J16</f>
        <v>-140</v>
      </c>
    </row>
    <row r="21" customFormat="false" ht="15" hidden="false" customHeight="true" outlineLevel="0" collapsed="false">
      <c r="A21" s="5" t="s">
        <v>55</v>
      </c>
      <c r="B21" s="19" t="n">
        <f aca="false">SUM(B18:B20)</f>
        <v>-998.8</v>
      </c>
      <c r="C21" s="19" t="n">
        <f aca="false">SUM(C18:C20)</f>
        <v>-934.16</v>
      </c>
      <c r="D21" s="19" t="n">
        <f aca="false">SUM(D18:D20)</f>
        <v>-892.5</v>
      </c>
      <c r="E21" s="19" t="n">
        <f aca="false">SUM(E18:E20)</f>
        <v>-850.52</v>
      </c>
      <c r="F21" s="19" t="n">
        <f aca="false">SUM(F18:F20)</f>
        <v>-802.75</v>
      </c>
      <c r="G21" s="19" t="n">
        <f aca="false">SUM(G18:G20)</f>
        <v>-771.2</v>
      </c>
      <c r="H21" s="19" t="n">
        <f aca="false">SUM(H18:H20)</f>
        <v>-745.8</v>
      </c>
      <c r="I21" s="19" t="n">
        <f aca="false">SUM(I18:I20)</f>
        <v>-730.2</v>
      </c>
      <c r="J21" s="19" t="n">
        <f aca="false">SUM(J18:J20)</f>
        <v>-728</v>
      </c>
    </row>
    <row r="22" customFormat="false" ht="15" hidden="false" customHeight="true" outlineLevel="0" collapsed="false">
      <c r="A22" s="14" t="s">
        <v>56</v>
      </c>
      <c r="B22" s="15" t="n">
        <f aca="false">B14+B21</f>
        <v>45.2</v>
      </c>
      <c r="C22" s="15" t="n">
        <f aca="false">C14+C21</f>
        <v>63.34</v>
      </c>
      <c r="D22" s="15" t="n">
        <f aca="false">D14+D21</f>
        <v>75</v>
      </c>
      <c r="E22" s="15" t="n">
        <f aca="false">E14+E21</f>
        <v>93.48</v>
      </c>
      <c r="F22" s="15" t="n">
        <f aca="false">F14+F21</f>
        <v>131</v>
      </c>
      <c r="G22" s="15" t="n">
        <f aca="false">G14+G21</f>
        <v>155.42</v>
      </c>
      <c r="H22" s="15" t="n">
        <f aca="false">H14+H21</f>
        <v>182.6</v>
      </c>
      <c r="I22" s="15" t="n">
        <f aca="false">I14+I21</f>
        <v>210.3</v>
      </c>
      <c r="J22" s="15" t="n">
        <f aca="false">J14+J21</f>
        <v>233.8</v>
      </c>
    </row>
    <row r="23" customFormat="false" ht="15" hidden="false" customHeight="true" outlineLevel="0" collapsed="false">
      <c r="A23" s="16" t="s">
        <v>57</v>
      </c>
      <c r="B23" s="17" t="n">
        <f aca="false">B22/B8</f>
        <v>0.0155862068965517</v>
      </c>
      <c r="C23" s="17" t="n">
        <f aca="false">C22/C8</f>
        <v>0.023812030075188</v>
      </c>
      <c r="D23" s="17" t="n">
        <f aca="false">D22/D8</f>
        <v>0.03</v>
      </c>
      <c r="E23" s="17" t="n">
        <f aca="false">E22/E8</f>
        <v>0.0396101694915254</v>
      </c>
      <c r="F23" s="17" t="n">
        <f aca="false">F22/F8</f>
        <v>0.0582222222222222</v>
      </c>
      <c r="G23" s="17" t="n">
        <f aca="false">G22/G8</f>
        <v>0.0717875288683603</v>
      </c>
      <c r="H23" s="17" t="n">
        <f aca="false">H22/H8</f>
        <v>0.0865402843601896</v>
      </c>
      <c r="I23" s="17" t="n">
        <f aca="false">I22/I8</f>
        <v>0.100622009569378</v>
      </c>
      <c r="J23" s="17" t="n">
        <f aca="false">J22/J8</f>
        <v>0.111333333333333</v>
      </c>
    </row>
    <row r="25" customFormat="false" ht="15" hidden="false" customHeight="true" outlineLevel="0" collapsed="false">
      <c r="A25" s="5" t="s">
        <v>58</v>
      </c>
      <c r="B25" s="6"/>
      <c r="C25" s="6"/>
      <c r="D25" s="6"/>
      <c r="E25" s="6"/>
      <c r="F25" s="6"/>
      <c r="G25" s="6"/>
      <c r="H25" s="6"/>
      <c r="I25" s="6"/>
      <c r="J25" s="6"/>
    </row>
    <row r="26" customFormat="false" ht="15" hidden="false" customHeight="true" outlineLevel="0" collapsed="false">
      <c r="A26" s="7" t="s">
        <v>59</v>
      </c>
      <c r="B26" s="13" t="n">
        <f aca="false">-Assumptions!B17</f>
        <v>-128</v>
      </c>
      <c r="C26" s="13" t="n">
        <f aca="false">-Assumptions!C17</f>
        <v>-130</v>
      </c>
      <c r="D26" s="13" t="n">
        <f aca="false">-Assumptions!D17</f>
        <v>-132</v>
      </c>
      <c r="E26" s="13" t="n">
        <f aca="false">-Assumptions!E17</f>
        <v>-122</v>
      </c>
      <c r="F26" s="13" t="n">
        <f aca="false">-Assumptions!F17</f>
        <v>-110</v>
      </c>
      <c r="G26" s="13" t="n">
        <f aca="false">-Assumptions!G17</f>
        <v>-98</v>
      </c>
      <c r="H26" s="13" t="n">
        <f aca="false">-Assumptions!H17</f>
        <v>-82</v>
      </c>
      <c r="I26" s="13" t="n">
        <f aca="false">-Assumptions!I17</f>
        <v>-68</v>
      </c>
      <c r="J26" s="13" t="n">
        <f aca="false">-Assumptions!J17</f>
        <v>-55</v>
      </c>
    </row>
    <row r="27" customFormat="false" ht="15" hidden="false" customHeight="true" outlineLevel="0" collapsed="false">
      <c r="A27" s="7" t="s">
        <v>60</v>
      </c>
      <c r="B27" s="8" t="n">
        <v>-15</v>
      </c>
      <c r="C27" s="8" t="n">
        <v>38</v>
      </c>
      <c r="D27" s="8" t="n">
        <v>-10</v>
      </c>
      <c r="E27" s="8" t="n">
        <v>5</v>
      </c>
      <c r="F27" s="8" t="n">
        <v>5</v>
      </c>
      <c r="G27" s="8" t="n">
        <v>5</v>
      </c>
      <c r="H27" s="8" t="n">
        <v>5</v>
      </c>
      <c r="I27" s="8" t="n">
        <v>5</v>
      </c>
      <c r="J27" s="8" t="n">
        <v>5</v>
      </c>
    </row>
    <row r="28" customFormat="false" ht="15" hidden="false" customHeight="true" outlineLevel="0" collapsed="false">
      <c r="A28" s="5" t="s">
        <v>61</v>
      </c>
      <c r="B28" s="19" t="n">
        <f aca="false">B22+B26+B27</f>
        <v>-97.8</v>
      </c>
      <c r="C28" s="19" t="n">
        <f aca="false">C22+C26+C27</f>
        <v>-28.66</v>
      </c>
      <c r="D28" s="19" t="n">
        <f aca="false">D22+D26+D27</f>
        <v>-67</v>
      </c>
      <c r="E28" s="19" t="n">
        <f aca="false">E22+E26+E27</f>
        <v>-23.52</v>
      </c>
      <c r="F28" s="19" t="n">
        <f aca="false">F22+F26+F27</f>
        <v>26</v>
      </c>
      <c r="G28" s="19" t="n">
        <f aca="false">G22+G26+G27</f>
        <v>62.42</v>
      </c>
      <c r="H28" s="19" t="n">
        <f aca="false">H22+H26+H27</f>
        <v>105.6</v>
      </c>
      <c r="I28" s="19" t="n">
        <f aca="false">I22+I26+I27</f>
        <v>147.3</v>
      </c>
      <c r="J28" s="19" t="n">
        <f aca="false">J22+J26+J27</f>
        <v>183.8</v>
      </c>
    </row>
    <row r="29" customFormat="false" ht="15" hidden="false" customHeight="true" outlineLevel="0" collapsed="false">
      <c r="A29" s="7" t="s">
        <v>62</v>
      </c>
      <c r="B29" s="18" t="n">
        <f aca="false">-MAX(B28*Assumptions!B18,0)</f>
        <v>-0</v>
      </c>
      <c r="C29" s="18" t="n">
        <f aca="false">-MAX(C28*Assumptions!C18,0)</f>
        <v>-0</v>
      </c>
      <c r="D29" s="18" t="n">
        <f aca="false">-MAX(D28*Assumptions!D18,0)</f>
        <v>-0</v>
      </c>
      <c r="E29" s="18" t="n">
        <f aca="false">-MAX(E28*Assumptions!E18,0)</f>
        <v>-0</v>
      </c>
      <c r="F29" s="18" t="n">
        <f aca="false">-MAX(F28*Assumptions!F18,0)</f>
        <v>-5.2</v>
      </c>
      <c r="G29" s="18" t="n">
        <f aca="false">-MAX(G28*Assumptions!G18,0)</f>
        <v>-13.7324</v>
      </c>
      <c r="H29" s="18" t="n">
        <f aca="false">-MAX(H28*Assumptions!H18,0)</f>
        <v>-23.232</v>
      </c>
      <c r="I29" s="18" t="n">
        <f aca="false">-MAX(I28*Assumptions!I18,0)</f>
        <v>-32.406</v>
      </c>
      <c r="J29" s="18" t="n">
        <f aca="false">-MAX(J28*Assumptions!J18,0)</f>
        <v>-40.436</v>
      </c>
    </row>
    <row r="30" customFormat="false" ht="15" hidden="false" customHeight="true" outlineLevel="0" collapsed="false">
      <c r="A30" s="14" t="s">
        <v>63</v>
      </c>
      <c r="B30" s="15" t="n">
        <f aca="false">B28+B29</f>
        <v>-97.8</v>
      </c>
      <c r="C30" s="15" t="n">
        <f aca="false">C28+C29</f>
        <v>-28.66</v>
      </c>
      <c r="D30" s="15" t="n">
        <f aca="false">D28+D29</f>
        <v>-67</v>
      </c>
      <c r="E30" s="15" t="n">
        <f aca="false">E28+E29</f>
        <v>-23.52</v>
      </c>
      <c r="F30" s="15" t="n">
        <f aca="false">F28+F29</f>
        <v>20.8</v>
      </c>
      <c r="G30" s="15" t="n">
        <f aca="false">G28+G29</f>
        <v>48.6876</v>
      </c>
      <c r="H30" s="15" t="n">
        <f aca="false">H28+H29</f>
        <v>82.368</v>
      </c>
      <c r="I30" s="15" t="n">
        <f aca="false">I28+I29</f>
        <v>114.894</v>
      </c>
      <c r="J30" s="15" t="n">
        <f aca="false">J28+J29</f>
        <v>143.364</v>
      </c>
    </row>
    <row r="31" customFormat="false" ht="15" hidden="false" customHeight="true" outlineLevel="0" collapsed="false">
      <c r="A31" s="16" t="s">
        <v>64</v>
      </c>
      <c r="B31" s="17" t="n">
        <f aca="false">B30/B8</f>
        <v>-0.0337241379310345</v>
      </c>
      <c r="C31" s="17" t="n">
        <f aca="false">C30/C8</f>
        <v>-0.0107744360902256</v>
      </c>
      <c r="D31" s="17" t="n">
        <f aca="false">D30/D8</f>
        <v>-0.0268</v>
      </c>
      <c r="E31" s="17" t="n">
        <f aca="false">E30/E8</f>
        <v>-0.00996610169491525</v>
      </c>
      <c r="F31" s="17" t="n">
        <f aca="false">F30/F8</f>
        <v>0.00924444444444444</v>
      </c>
      <c r="G31" s="17" t="n">
        <f aca="false">G30/G8</f>
        <v>0.0224884988452656</v>
      </c>
      <c r="H31" s="17" t="n">
        <f aca="false">H30/H8</f>
        <v>0.0390369668246446</v>
      </c>
      <c r="I31" s="17" t="n">
        <f aca="false">I30/I8</f>
        <v>0.0549732057416268</v>
      </c>
      <c r="J31" s="17" t="n">
        <f aca="false">J30/J8</f>
        <v>0.0682685714285714</v>
      </c>
    </row>
    <row r="33" customFormat="false" ht="15" hidden="false" customHeight="true" outlineLevel="0" collapsed="false">
      <c r="A33" s="5" t="s">
        <v>65</v>
      </c>
      <c r="B33" s="6"/>
      <c r="C33" s="6"/>
      <c r="D33" s="6"/>
      <c r="E33" s="6"/>
      <c r="F33" s="6"/>
      <c r="G33" s="6"/>
      <c r="H33" s="6"/>
      <c r="I33" s="6"/>
      <c r="J33" s="6"/>
    </row>
    <row r="34" customFormat="false" ht="15" hidden="false" customHeight="true" outlineLevel="0" collapsed="false">
      <c r="A34" s="14" t="s">
        <v>66</v>
      </c>
      <c r="B34" s="15" t="n">
        <f aca="false">B8*Assumptions!B15</f>
        <v>255.2</v>
      </c>
      <c r="C34" s="15" t="n">
        <f aca="false">C8*Assumptions!C15</f>
        <v>263.34</v>
      </c>
      <c r="D34" s="15" t="n">
        <f aca="false">D8*Assumptions!D15</f>
        <v>270</v>
      </c>
      <c r="E34" s="15" t="n">
        <f aca="false">E8*Assumptions!E15</f>
        <v>278.48</v>
      </c>
      <c r="F34" s="15" t="n">
        <f aca="false">F8*Assumptions!F15</f>
        <v>306</v>
      </c>
      <c r="G34" s="15" t="n">
        <f aca="false">G8*Assumptions!G15</f>
        <v>320.42</v>
      </c>
      <c r="H34" s="15" t="n">
        <f aca="false">H8*Assumptions!H15</f>
        <v>337.6</v>
      </c>
      <c r="I34" s="15" t="n">
        <f aca="false">I8*Assumptions!I15</f>
        <v>355.3</v>
      </c>
      <c r="J34" s="15" t="n">
        <f aca="false">J8*Assumptions!J15</f>
        <v>373.8</v>
      </c>
    </row>
    <row r="35" customFormat="false" ht="15" hidden="false" customHeight="true" outlineLevel="0" collapsed="false">
      <c r="A35" s="16" t="s">
        <v>67</v>
      </c>
      <c r="B35" s="17" t="n">
        <f aca="false">B34/B8</f>
        <v>0.088</v>
      </c>
      <c r="C35" s="17" t="n">
        <f aca="false">C34/C8</f>
        <v>0.099</v>
      </c>
      <c r="D35" s="17" t="n">
        <f aca="false">D34/D8</f>
        <v>0.108</v>
      </c>
      <c r="E35" s="17" t="n">
        <f aca="false">E34/E8</f>
        <v>0.118</v>
      </c>
      <c r="F35" s="17" t="n">
        <f aca="false">F34/F8</f>
        <v>0.136</v>
      </c>
      <c r="G35" s="17" t="n">
        <f aca="false">G34/G8</f>
        <v>0.148</v>
      </c>
      <c r="H35" s="17" t="n">
        <f aca="false">H34/H8</f>
        <v>0.16</v>
      </c>
      <c r="I35" s="17" t="n">
        <f aca="false">I34/I8</f>
        <v>0.17</v>
      </c>
      <c r="J35" s="17" t="n">
        <f aca="false">J34/J8</f>
        <v>0.178</v>
      </c>
    </row>
    <row r="36" customFormat="false" ht="15" hidden="false" customHeight="true" outlineLevel="0" collapsed="false">
      <c r="A36" s="20" t="s">
        <v>68</v>
      </c>
      <c r="B36" s="21" t="n">
        <f aca="false">B22-B20</f>
        <v>255.2</v>
      </c>
      <c r="C36" s="21" t="n">
        <f aca="false">C22-C20</f>
        <v>263.34</v>
      </c>
      <c r="D36" s="21" t="n">
        <f aca="false">D22-D20</f>
        <v>270</v>
      </c>
      <c r="E36" s="21" t="n">
        <f aca="false">E22-E20</f>
        <v>278.48</v>
      </c>
      <c r="F36" s="21" t="n">
        <f aca="false">F22-F20</f>
        <v>306</v>
      </c>
      <c r="G36" s="21" t="n">
        <f aca="false">G22-G20</f>
        <v>320.42</v>
      </c>
      <c r="H36" s="21" t="n">
        <f aca="false">H22-H20</f>
        <v>337.6</v>
      </c>
      <c r="I36" s="21" t="n">
        <f aca="false">I22-I20</f>
        <v>355.3</v>
      </c>
      <c r="J36" s="21" t="n">
        <f aca="false">J22-J20</f>
        <v>373.8</v>
      </c>
    </row>
    <row r="38" customFormat="false" ht="15" hidden="false" customHeight="true" outlineLevel="0" collapsed="false">
      <c r="A38" s="5" t="s">
        <v>69</v>
      </c>
      <c r="B38" s="6"/>
      <c r="C38" s="6"/>
      <c r="D38" s="6"/>
      <c r="E38" s="6"/>
      <c r="F38" s="6"/>
      <c r="G38" s="6"/>
      <c r="H38" s="6"/>
      <c r="I38" s="6"/>
      <c r="J38" s="6"/>
    </row>
    <row r="39" customFormat="false" ht="15" hidden="false" customHeight="true" outlineLevel="0" collapsed="false">
      <c r="A39" s="7" t="s">
        <v>31</v>
      </c>
      <c r="B39" s="22" t="n">
        <f aca="false">Assumptions!B26</f>
        <v>146</v>
      </c>
      <c r="C39" s="22" t="n">
        <f aca="false">Assumptions!C26</f>
        <v>147</v>
      </c>
      <c r="D39" s="22" t="n">
        <f aca="false">Assumptions!D26</f>
        <v>147</v>
      </c>
      <c r="E39" s="22" t="n">
        <f aca="false">Assumptions!E26</f>
        <v>148</v>
      </c>
      <c r="F39" s="22" t="n">
        <f aca="false">Assumptions!F26</f>
        <v>149</v>
      </c>
      <c r="G39" s="22" t="n">
        <f aca="false">Assumptions!G26</f>
        <v>150</v>
      </c>
      <c r="H39" s="22" t="n">
        <f aca="false">Assumptions!H26</f>
        <v>151</v>
      </c>
      <c r="I39" s="22" t="n">
        <f aca="false">Assumptions!I26</f>
        <v>152</v>
      </c>
      <c r="J39" s="22" t="n">
        <f aca="false">Assumptions!J26</f>
        <v>153</v>
      </c>
    </row>
    <row r="40" customFormat="false" ht="15" hidden="false" customHeight="true" outlineLevel="0" collapsed="false">
      <c r="A40" s="14" t="s">
        <v>70</v>
      </c>
      <c r="B40" s="23" t="n">
        <f aca="false">B30/Assumptions!B26</f>
        <v>-0.66986301369863</v>
      </c>
      <c r="C40" s="23" t="n">
        <f aca="false">C30/Assumptions!C26</f>
        <v>-0.194965986394558</v>
      </c>
      <c r="D40" s="23" t="n">
        <f aca="false">D30/Assumptions!D26</f>
        <v>-0.45578231292517</v>
      </c>
      <c r="E40" s="23" t="n">
        <f aca="false">E30/Assumptions!E26</f>
        <v>-0.158918918918919</v>
      </c>
      <c r="F40" s="23" t="n">
        <f aca="false">F30/Assumptions!F26</f>
        <v>0.139597315436242</v>
      </c>
      <c r="G40" s="23" t="n">
        <f aca="false">G30/Assumptions!G26</f>
        <v>0.324584</v>
      </c>
      <c r="H40" s="23" t="n">
        <f aca="false">H30/Assumptions!H26</f>
        <v>0.54548344370861</v>
      </c>
      <c r="I40" s="23" t="n">
        <f aca="false">I30/Assumptions!I26</f>
        <v>0.755881578947368</v>
      </c>
      <c r="J40" s="23" t="n">
        <f aca="false">J30/Assumptions!J26</f>
        <v>0.937019607843137</v>
      </c>
    </row>
    <row r="41" customFormat="false" ht="15" hidden="false" customHeight="true" outlineLevel="0" collapsed="false">
      <c r="A41" s="16" t="s">
        <v>71</v>
      </c>
      <c r="B41" s="10"/>
      <c r="C41" s="10"/>
      <c r="D41" s="10"/>
      <c r="E41" s="17" t="n">
        <f aca="false">(E40-D40)/ABS(D40)</f>
        <v>0.651327148043566</v>
      </c>
      <c r="F41" s="17" t="n">
        <f aca="false">(F40-E40)/ABS(E40)</f>
        <v>1.87841848148656</v>
      </c>
      <c r="G41" s="17" t="n">
        <f aca="false">(G40-F40)/ABS(F40)</f>
        <v>1.325145</v>
      </c>
      <c r="H41" s="17" t="n">
        <f aca="false">(H40-G40)/ABS(G40)</f>
        <v>0.68056171502172</v>
      </c>
      <c r="I41" s="17" t="n">
        <f aca="false">(I40-H40)/ABS(H40)</f>
        <v>0.385709479665071</v>
      </c>
      <c r="J41" s="17" t="n">
        <f aca="false">(J40-I40)/ABS(I40)</f>
        <v>0.239638104619535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A1:J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10" min="2" style="1" width="12"/>
  </cols>
  <sheetData>
    <row r="1" customFormat="false" ht="18" hidden="false" customHeight="true" outlineLevel="0" collapsed="false">
      <c r="A1" s="2" t="s">
        <v>72</v>
      </c>
    </row>
    <row r="2" customFormat="false" ht="15" hidden="false" customHeight="true" outlineLevel="0" collapsed="false">
      <c r="A2" s="3" t="s">
        <v>41</v>
      </c>
    </row>
    <row r="4" customFormat="false" ht="25.5" hidden="false" customHeight="true" outlineLevel="0" collapsed="false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customFormat="false" ht="15" hidden="false" customHeight="true" outlineLevel="0" collapsed="false">
      <c r="A5" s="5" t="s">
        <v>73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5" hidden="false" customHeight="true" outlineLevel="0" collapsed="false">
      <c r="A6" s="7" t="s">
        <v>74</v>
      </c>
      <c r="B6" s="8" t="n">
        <v>68</v>
      </c>
      <c r="C6" s="8" t="n">
        <v>73</v>
      </c>
      <c r="D6" s="8" t="n">
        <v>106</v>
      </c>
      <c r="E6" s="8" t="n">
        <v>85</v>
      </c>
      <c r="F6" s="8" t="n">
        <v>75</v>
      </c>
      <c r="G6" s="8" t="n">
        <v>80</v>
      </c>
      <c r="H6" s="8" t="n">
        <v>90</v>
      </c>
      <c r="I6" s="8" t="n">
        <v>105</v>
      </c>
      <c r="J6" s="8" t="n">
        <v>120</v>
      </c>
    </row>
    <row r="7" customFormat="false" ht="15" hidden="false" customHeight="true" outlineLevel="0" collapsed="false">
      <c r="A7" s="7" t="s">
        <v>75</v>
      </c>
      <c r="B7" s="8" t="n">
        <v>290</v>
      </c>
      <c r="C7" s="8" t="n">
        <v>268</v>
      </c>
      <c r="D7" s="8" t="n">
        <v>240</v>
      </c>
      <c r="E7" s="8" t="n">
        <v>228</v>
      </c>
      <c r="F7" s="8" t="n">
        <v>218</v>
      </c>
      <c r="G7" s="8" t="n">
        <v>211</v>
      </c>
      <c r="H7" s="8" t="n">
        <v>207</v>
      </c>
      <c r="I7" s="8" t="n">
        <v>206</v>
      </c>
      <c r="J7" s="8" t="n">
        <v>207</v>
      </c>
    </row>
    <row r="8" customFormat="false" ht="15" hidden="false" customHeight="true" outlineLevel="0" collapsed="false">
      <c r="A8" s="7" t="s">
        <v>76</v>
      </c>
      <c r="B8" s="8" t="n">
        <v>85</v>
      </c>
      <c r="C8" s="8" t="n">
        <v>72</v>
      </c>
      <c r="D8" s="8" t="n">
        <v>80</v>
      </c>
      <c r="E8" s="8" t="n">
        <v>78</v>
      </c>
      <c r="F8" s="8" t="n">
        <v>72</v>
      </c>
      <c r="G8" s="8" t="n">
        <v>68</v>
      </c>
      <c r="H8" s="8" t="n">
        <v>65</v>
      </c>
      <c r="I8" s="8" t="n">
        <v>63</v>
      </c>
      <c r="J8" s="8" t="n">
        <v>62</v>
      </c>
    </row>
    <row r="9" customFormat="false" ht="15" hidden="false" customHeight="true" outlineLevel="0" collapsed="false">
      <c r="A9" s="14" t="s">
        <v>77</v>
      </c>
      <c r="B9" s="15" t="n">
        <f aca="false">SUM(B6:B8)</f>
        <v>443</v>
      </c>
      <c r="C9" s="15" t="n">
        <f aca="false">SUM(C6:C8)</f>
        <v>413</v>
      </c>
      <c r="D9" s="15" t="n">
        <f aca="false">SUM(D6:D8)</f>
        <v>426</v>
      </c>
      <c r="E9" s="15" t="n">
        <f aca="false">SUM(E6:E8)</f>
        <v>391</v>
      </c>
      <c r="F9" s="15" t="n">
        <f aca="false">SUM(F6:F8)</f>
        <v>365</v>
      </c>
      <c r="G9" s="15" t="n">
        <f aca="false">SUM(G6:G8)</f>
        <v>359</v>
      </c>
      <c r="H9" s="15" t="n">
        <f aca="false">SUM(H6:H8)</f>
        <v>362</v>
      </c>
      <c r="I9" s="15" t="n">
        <f aca="false">SUM(I6:I8)</f>
        <v>374</v>
      </c>
      <c r="J9" s="15" t="n">
        <f aca="false">SUM(J6:J8)</f>
        <v>389</v>
      </c>
    </row>
    <row r="11" customFormat="false" ht="15" hidden="false" customHeight="true" outlineLevel="0" collapsed="false">
      <c r="A11" s="5" t="s">
        <v>78</v>
      </c>
      <c r="B11" s="6"/>
      <c r="C11" s="6"/>
      <c r="D11" s="6"/>
      <c r="E11" s="6"/>
      <c r="F11" s="6"/>
      <c r="G11" s="6"/>
      <c r="H11" s="6"/>
      <c r="I11" s="6"/>
      <c r="J11" s="6"/>
    </row>
    <row r="12" customFormat="false" ht="15" hidden="false" customHeight="true" outlineLevel="0" collapsed="false">
      <c r="A12" s="7" t="s">
        <v>79</v>
      </c>
      <c r="B12" s="8" t="n">
        <v>310</v>
      </c>
      <c r="C12" s="8" t="n">
        <v>278</v>
      </c>
      <c r="D12" s="8" t="n">
        <v>241</v>
      </c>
      <c r="E12" s="8" t="n">
        <v>210</v>
      </c>
      <c r="F12" s="8" t="n">
        <v>185</v>
      </c>
      <c r="G12" s="8" t="n">
        <v>162</v>
      </c>
      <c r="H12" s="8" t="n">
        <v>142</v>
      </c>
      <c r="I12" s="8" t="n">
        <v>124</v>
      </c>
      <c r="J12" s="8" t="n">
        <v>108</v>
      </c>
    </row>
    <row r="13" customFormat="false" ht="15" hidden="false" customHeight="true" outlineLevel="0" collapsed="false">
      <c r="A13" s="7" t="s">
        <v>80</v>
      </c>
      <c r="B13" s="8" t="n">
        <v>525</v>
      </c>
      <c r="C13" s="8" t="n">
        <v>525</v>
      </c>
      <c r="D13" s="8" t="n">
        <v>530</v>
      </c>
      <c r="E13" s="8" t="n">
        <v>519</v>
      </c>
      <c r="F13" s="8" t="n">
        <v>519</v>
      </c>
      <c r="G13" s="8" t="n">
        <v>519</v>
      </c>
      <c r="H13" s="8" t="n">
        <v>519</v>
      </c>
      <c r="I13" s="8" t="n">
        <v>519</v>
      </c>
      <c r="J13" s="8" t="n">
        <v>519</v>
      </c>
    </row>
    <row r="14" customFormat="false" ht="15" hidden="false" customHeight="true" outlineLevel="0" collapsed="false">
      <c r="A14" s="7" t="s">
        <v>81</v>
      </c>
      <c r="B14" s="8" t="n">
        <v>550</v>
      </c>
      <c r="C14" s="8" t="n">
        <v>490</v>
      </c>
      <c r="D14" s="8" t="n">
        <v>430</v>
      </c>
      <c r="E14" s="8" t="n">
        <v>377</v>
      </c>
      <c r="F14" s="8" t="n">
        <v>320</v>
      </c>
      <c r="G14" s="8" t="n">
        <v>268</v>
      </c>
      <c r="H14" s="8" t="n">
        <v>220</v>
      </c>
      <c r="I14" s="8" t="n">
        <v>178</v>
      </c>
      <c r="J14" s="8" t="n">
        <v>140</v>
      </c>
    </row>
    <row r="15" customFormat="false" ht="15" hidden="false" customHeight="true" outlineLevel="0" collapsed="false">
      <c r="A15" s="7" t="s">
        <v>82</v>
      </c>
      <c r="B15" s="8" t="n">
        <v>180</v>
      </c>
      <c r="C15" s="8" t="n">
        <v>178</v>
      </c>
      <c r="D15" s="8" t="n">
        <v>269</v>
      </c>
      <c r="E15" s="8" t="n">
        <v>376</v>
      </c>
      <c r="F15" s="8" t="n">
        <v>370</v>
      </c>
      <c r="G15" s="8" t="n">
        <v>360</v>
      </c>
      <c r="H15" s="8" t="n">
        <v>350</v>
      </c>
      <c r="I15" s="8" t="n">
        <v>342</v>
      </c>
      <c r="J15" s="8" t="n">
        <v>336</v>
      </c>
    </row>
    <row r="16" customFormat="false" ht="15" hidden="false" customHeight="true" outlineLevel="0" collapsed="false">
      <c r="A16" s="14" t="s">
        <v>83</v>
      </c>
      <c r="B16" s="15" t="n">
        <f aca="false">SUM(B12:B15)</f>
        <v>1565</v>
      </c>
      <c r="C16" s="15" t="n">
        <f aca="false">SUM(C12:C15)</f>
        <v>1471</v>
      </c>
      <c r="D16" s="15" t="n">
        <f aca="false">SUM(D12:D15)</f>
        <v>1470</v>
      </c>
      <c r="E16" s="15" t="n">
        <f aca="false">SUM(E12:E15)</f>
        <v>1482</v>
      </c>
      <c r="F16" s="15" t="n">
        <f aca="false">SUM(F12:F15)</f>
        <v>1394</v>
      </c>
      <c r="G16" s="15" t="n">
        <f aca="false">SUM(G12:G15)</f>
        <v>1309</v>
      </c>
      <c r="H16" s="15" t="n">
        <f aca="false">SUM(H12:H15)</f>
        <v>1231</v>
      </c>
      <c r="I16" s="15" t="n">
        <f aca="false">SUM(I12:I15)</f>
        <v>1163</v>
      </c>
      <c r="J16" s="15" t="n">
        <f aca="false">SUM(J12:J15)</f>
        <v>1103</v>
      </c>
    </row>
    <row r="17" customFormat="false" ht="15" hidden="false" customHeight="true" outlineLevel="0" collapsed="false">
      <c r="A17" s="24" t="s">
        <v>84</v>
      </c>
      <c r="B17" s="25" t="n">
        <f aca="false">B9+B16</f>
        <v>2008</v>
      </c>
      <c r="C17" s="25" t="n">
        <f aca="false">C9+C16</f>
        <v>1884</v>
      </c>
      <c r="D17" s="25" t="n">
        <f aca="false">D9+D16</f>
        <v>1896</v>
      </c>
      <c r="E17" s="25" t="n">
        <f aca="false">E9+E16</f>
        <v>1873</v>
      </c>
      <c r="F17" s="25" t="n">
        <f aca="false">F9+F16</f>
        <v>1759</v>
      </c>
      <c r="G17" s="25" t="n">
        <f aca="false">G9+G16</f>
        <v>1668</v>
      </c>
      <c r="H17" s="25" t="n">
        <f aca="false">H9+H16</f>
        <v>1593</v>
      </c>
      <c r="I17" s="25" t="n">
        <f aca="false">I9+I16</f>
        <v>1537</v>
      </c>
      <c r="J17" s="25" t="n">
        <f aca="false">J9+J16</f>
        <v>1492</v>
      </c>
    </row>
    <row r="19" customFormat="false" ht="15" hidden="false" customHeight="true" outlineLevel="0" collapsed="false">
      <c r="A19" s="5" t="s">
        <v>85</v>
      </c>
      <c r="B19" s="6"/>
      <c r="C19" s="6"/>
      <c r="D19" s="6"/>
      <c r="E19" s="6"/>
      <c r="F19" s="6"/>
      <c r="G19" s="6"/>
      <c r="H19" s="6"/>
      <c r="I19" s="6"/>
      <c r="J19" s="6"/>
    </row>
    <row r="20" customFormat="false" ht="15" hidden="false" customHeight="true" outlineLevel="0" collapsed="false">
      <c r="A20" s="7" t="s">
        <v>86</v>
      </c>
      <c r="B20" s="8" t="n">
        <v>320</v>
      </c>
      <c r="C20" s="8" t="n">
        <v>300</v>
      </c>
      <c r="D20" s="8" t="n">
        <v>318</v>
      </c>
      <c r="E20" s="8" t="n">
        <v>310</v>
      </c>
      <c r="F20" s="8" t="n">
        <v>295</v>
      </c>
      <c r="G20" s="8" t="n">
        <v>282</v>
      </c>
      <c r="H20" s="8" t="n">
        <v>272</v>
      </c>
      <c r="I20" s="8" t="n">
        <v>264</v>
      </c>
      <c r="J20" s="8" t="n">
        <v>258</v>
      </c>
    </row>
    <row r="21" customFormat="false" ht="15" hidden="false" customHeight="true" outlineLevel="0" collapsed="false">
      <c r="A21" s="7" t="s">
        <v>87</v>
      </c>
      <c r="B21" s="8" t="n">
        <v>115</v>
      </c>
      <c r="C21" s="8" t="n">
        <v>110</v>
      </c>
      <c r="D21" s="8" t="n">
        <v>108</v>
      </c>
      <c r="E21" s="8" t="n">
        <v>106</v>
      </c>
      <c r="F21" s="8" t="n">
        <v>104</v>
      </c>
      <c r="G21" s="8" t="n">
        <v>102</v>
      </c>
      <c r="H21" s="8" t="n">
        <v>100</v>
      </c>
      <c r="I21" s="8" t="n">
        <v>98</v>
      </c>
      <c r="J21" s="8" t="n">
        <v>96</v>
      </c>
    </row>
    <row r="22" customFormat="false" ht="15" hidden="false" customHeight="true" outlineLevel="0" collapsed="false">
      <c r="A22" s="7" t="s">
        <v>88</v>
      </c>
      <c r="B22" s="8" t="n">
        <v>130</v>
      </c>
      <c r="C22" s="8" t="n">
        <v>130</v>
      </c>
      <c r="D22" s="8" t="n">
        <v>74</v>
      </c>
      <c r="E22" s="8" t="n">
        <v>140</v>
      </c>
      <c r="F22" s="8" t="n">
        <v>140</v>
      </c>
      <c r="G22" s="8" t="n">
        <v>140</v>
      </c>
      <c r="H22" s="8" t="n">
        <v>140</v>
      </c>
      <c r="I22" s="8" t="n">
        <v>130</v>
      </c>
      <c r="J22" s="8" t="n">
        <v>120</v>
      </c>
    </row>
    <row r="23" customFormat="false" ht="15" hidden="false" customHeight="true" outlineLevel="0" collapsed="false">
      <c r="A23" s="7" t="s">
        <v>89</v>
      </c>
      <c r="B23" s="8" t="n">
        <v>55</v>
      </c>
      <c r="C23" s="8" t="n">
        <v>50</v>
      </c>
      <c r="D23" s="8" t="n">
        <v>46</v>
      </c>
      <c r="E23" s="8" t="n">
        <v>45</v>
      </c>
      <c r="F23" s="8" t="n">
        <v>43</v>
      </c>
      <c r="G23" s="8" t="n">
        <v>41</v>
      </c>
      <c r="H23" s="8" t="n">
        <v>40</v>
      </c>
      <c r="I23" s="8" t="n">
        <v>39</v>
      </c>
      <c r="J23" s="8" t="n">
        <v>38</v>
      </c>
    </row>
    <row r="24" customFormat="false" ht="15" hidden="false" customHeight="true" outlineLevel="0" collapsed="false">
      <c r="A24" s="14" t="s">
        <v>90</v>
      </c>
      <c r="B24" s="15" t="n">
        <f aca="false">SUM(B20:B23)</f>
        <v>620</v>
      </c>
      <c r="C24" s="15" t="n">
        <f aca="false">SUM(C20:C23)</f>
        <v>590</v>
      </c>
      <c r="D24" s="15" t="n">
        <f aca="false">SUM(D20:D23)</f>
        <v>546</v>
      </c>
      <c r="E24" s="15" t="n">
        <f aca="false">SUM(E20:E23)</f>
        <v>601</v>
      </c>
      <c r="F24" s="15" t="n">
        <f aca="false">SUM(F20:F23)</f>
        <v>582</v>
      </c>
      <c r="G24" s="15" t="n">
        <f aca="false">SUM(G20:G23)</f>
        <v>565</v>
      </c>
      <c r="H24" s="15" t="n">
        <f aca="false">SUM(H20:H23)</f>
        <v>552</v>
      </c>
      <c r="I24" s="15" t="n">
        <f aca="false">SUM(I20:I23)</f>
        <v>531</v>
      </c>
      <c r="J24" s="15" t="n">
        <f aca="false">SUM(J20:J23)</f>
        <v>512</v>
      </c>
    </row>
    <row r="26" customFormat="false" ht="15" hidden="false" customHeight="true" outlineLevel="0" collapsed="false">
      <c r="A26" s="5" t="s">
        <v>91</v>
      </c>
      <c r="B26" s="6"/>
      <c r="C26" s="6"/>
      <c r="D26" s="6"/>
      <c r="E26" s="6"/>
      <c r="F26" s="6"/>
      <c r="G26" s="6"/>
      <c r="H26" s="6"/>
      <c r="I26" s="6"/>
      <c r="J26" s="6"/>
    </row>
    <row r="27" customFormat="false" ht="15" hidden="false" customHeight="true" outlineLevel="0" collapsed="false">
      <c r="A27" s="7" t="s">
        <v>92</v>
      </c>
      <c r="B27" s="13" t="n">
        <f aca="false">Assumptions!B22-B22</f>
        <v>1270</v>
      </c>
      <c r="C27" s="13" t="n">
        <f aca="false">Assumptions!C22-C22</f>
        <v>1140</v>
      </c>
      <c r="D27" s="13" t="n">
        <f aca="false">Assumptions!D22-D22</f>
        <v>1076</v>
      </c>
      <c r="E27" s="13" t="n">
        <f aca="false">Assumptions!E22-E22</f>
        <v>870</v>
      </c>
      <c r="F27" s="13" t="n">
        <f aca="false">Assumptions!F22-F22</f>
        <v>730</v>
      </c>
      <c r="G27" s="13" t="n">
        <f aca="false">Assumptions!G22-G22</f>
        <v>590</v>
      </c>
      <c r="H27" s="13" t="n">
        <f aca="false">Assumptions!H22-H22</f>
        <v>450</v>
      </c>
      <c r="I27" s="13" t="n">
        <f aca="false">Assumptions!I22-I22</f>
        <v>330</v>
      </c>
      <c r="J27" s="13" t="n">
        <f aca="false">Assumptions!J22-J22</f>
        <v>220</v>
      </c>
    </row>
    <row r="28" customFormat="false" ht="15" hidden="false" customHeight="true" outlineLevel="0" collapsed="false">
      <c r="A28" s="7" t="s">
        <v>93</v>
      </c>
      <c r="B28" s="8" t="n">
        <v>65</v>
      </c>
      <c r="C28" s="8" t="n">
        <v>55</v>
      </c>
      <c r="D28" s="8" t="n">
        <v>38</v>
      </c>
      <c r="E28" s="8" t="n">
        <v>36</v>
      </c>
      <c r="F28" s="8" t="n">
        <v>34</v>
      </c>
      <c r="G28" s="8" t="n">
        <v>32</v>
      </c>
      <c r="H28" s="8" t="n">
        <v>30</v>
      </c>
      <c r="I28" s="8" t="n">
        <v>28</v>
      </c>
      <c r="J28" s="8" t="n">
        <v>26</v>
      </c>
    </row>
    <row r="29" customFormat="false" ht="15" hidden="false" customHeight="true" outlineLevel="0" collapsed="false">
      <c r="A29" s="7" t="s">
        <v>94</v>
      </c>
      <c r="B29" s="8" t="n">
        <v>320</v>
      </c>
      <c r="C29" s="8" t="n">
        <v>290</v>
      </c>
      <c r="D29" s="8" t="n">
        <v>294</v>
      </c>
      <c r="E29" s="8" t="n">
        <v>271</v>
      </c>
      <c r="F29" s="8" t="n">
        <v>252</v>
      </c>
      <c r="G29" s="8" t="n">
        <v>234</v>
      </c>
      <c r="H29" s="8" t="n">
        <v>218</v>
      </c>
      <c r="I29" s="8" t="n">
        <v>203</v>
      </c>
      <c r="J29" s="8" t="n">
        <v>190</v>
      </c>
    </row>
    <row r="30" customFormat="false" ht="15" hidden="false" customHeight="true" outlineLevel="0" collapsed="false">
      <c r="A30" s="14" t="s">
        <v>95</v>
      </c>
      <c r="B30" s="15" t="n">
        <f aca="false">SUM(B27:B29)</f>
        <v>1655</v>
      </c>
      <c r="C30" s="15" t="n">
        <f aca="false">SUM(C27:C29)</f>
        <v>1485</v>
      </c>
      <c r="D30" s="15" t="n">
        <f aca="false">SUM(D27:D29)</f>
        <v>1408</v>
      </c>
      <c r="E30" s="15" t="n">
        <f aca="false">SUM(E27:E29)</f>
        <v>1177</v>
      </c>
      <c r="F30" s="15" t="n">
        <f aca="false">SUM(F27:F29)</f>
        <v>1016</v>
      </c>
      <c r="G30" s="15" t="n">
        <f aca="false">SUM(G27:G29)</f>
        <v>856</v>
      </c>
      <c r="H30" s="15" t="n">
        <f aca="false">SUM(H27:H29)</f>
        <v>698</v>
      </c>
      <c r="I30" s="15" t="n">
        <f aca="false">SUM(I27:I29)</f>
        <v>561</v>
      </c>
      <c r="J30" s="15" t="n">
        <f aca="false">SUM(J27:J29)</f>
        <v>436</v>
      </c>
    </row>
    <row r="31" customFormat="false" ht="15" hidden="false" customHeight="true" outlineLevel="0" collapsed="false">
      <c r="A31" s="5" t="s">
        <v>96</v>
      </c>
      <c r="B31" s="19" t="n">
        <f aca="false">B24+B30</f>
        <v>2275</v>
      </c>
      <c r="C31" s="19" t="n">
        <f aca="false">C24+C30</f>
        <v>2075</v>
      </c>
      <c r="D31" s="19" t="n">
        <f aca="false">D24+D30</f>
        <v>1954</v>
      </c>
      <c r="E31" s="19" t="n">
        <f aca="false">E24+E30</f>
        <v>1778</v>
      </c>
      <c r="F31" s="19" t="n">
        <f aca="false">F24+F30</f>
        <v>1598</v>
      </c>
      <c r="G31" s="19" t="n">
        <f aca="false">G24+G30</f>
        <v>1421</v>
      </c>
      <c r="H31" s="19" t="n">
        <f aca="false">H24+H30</f>
        <v>1250</v>
      </c>
      <c r="I31" s="19" t="n">
        <f aca="false">I24+I30</f>
        <v>1092</v>
      </c>
      <c r="J31" s="19" t="n">
        <f aca="false">J24+J30</f>
        <v>948</v>
      </c>
    </row>
    <row r="33" customFormat="false" ht="15" hidden="false" customHeight="true" outlineLevel="0" collapsed="false">
      <c r="A33" s="5" t="s">
        <v>97</v>
      </c>
      <c r="B33" s="6"/>
      <c r="C33" s="6"/>
      <c r="D33" s="6"/>
      <c r="E33" s="6"/>
      <c r="F33" s="6"/>
      <c r="G33" s="6"/>
      <c r="H33" s="6"/>
      <c r="I33" s="6"/>
      <c r="J33" s="6"/>
    </row>
    <row r="34" customFormat="false" ht="15" hidden="false" customHeight="true" outlineLevel="0" collapsed="false">
      <c r="A34" s="7" t="s">
        <v>98</v>
      </c>
      <c r="B34" s="8" t="n">
        <v>1510</v>
      </c>
      <c r="C34" s="8" t="n">
        <v>1540</v>
      </c>
      <c r="D34" s="8" t="n">
        <v>1570</v>
      </c>
      <c r="E34" s="8" t="n">
        <v>1595</v>
      </c>
      <c r="F34" s="8" t="n">
        <v>1620</v>
      </c>
      <c r="G34" s="8" t="n">
        <v>1645</v>
      </c>
      <c r="H34" s="8" t="n">
        <v>1670</v>
      </c>
      <c r="I34" s="8" t="n">
        <v>1695</v>
      </c>
      <c r="J34" s="8" t="n">
        <v>1720</v>
      </c>
    </row>
    <row r="35" customFormat="false" ht="15" hidden="false" customHeight="true" outlineLevel="0" collapsed="false">
      <c r="A35" s="7" t="s">
        <v>99</v>
      </c>
      <c r="B35" s="8" t="n">
        <v>-1580</v>
      </c>
      <c r="C35" s="8" t="n">
        <v>-1532</v>
      </c>
      <c r="D35" s="8" t="n">
        <v>-1472</v>
      </c>
      <c r="E35" s="8" t="n">
        <v>-1413</v>
      </c>
      <c r="F35" s="8" t="n">
        <v>-1370</v>
      </c>
      <c r="G35" s="8" t="n">
        <v>-1325</v>
      </c>
      <c r="H35" s="8" t="n">
        <v>-1278</v>
      </c>
      <c r="I35" s="8" t="n">
        <v>-1228</v>
      </c>
      <c r="J35" s="8" t="n">
        <v>-1175</v>
      </c>
    </row>
    <row r="36" customFormat="false" ht="15" hidden="false" customHeight="true" outlineLevel="0" collapsed="false">
      <c r="A36" s="7" t="s">
        <v>100</v>
      </c>
      <c r="B36" s="8" t="n">
        <v>-75</v>
      </c>
      <c r="C36" s="8" t="n">
        <v>-62</v>
      </c>
      <c r="D36" s="8" t="n">
        <v>-69</v>
      </c>
      <c r="E36" s="8" t="n">
        <v>-68</v>
      </c>
      <c r="F36" s="8" t="n">
        <v>-65</v>
      </c>
      <c r="G36" s="8" t="n">
        <v>-62</v>
      </c>
      <c r="H36" s="8" t="n">
        <v>-60</v>
      </c>
      <c r="I36" s="8" t="n">
        <v>-58</v>
      </c>
      <c r="J36" s="8" t="n">
        <v>-56</v>
      </c>
    </row>
    <row r="37" customFormat="false" ht="15" hidden="false" customHeight="true" outlineLevel="0" collapsed="false">
      <c r="A37" s="14" t="s">
        <v>101</v>
      </c>
      <c r="B37" s="15" t="n">
        <f aca="false">SUM(B34:B36)</f>
        <v>-145</v>
      </c>
      <c r="C37" s="15" t="n">
        <f aca="false">SUM(C34:C36)</f>
        <v>-54</v>
      </c>
      <c r="D37" s="15" t="n">
        <f aca="false">SUM(D34:D36)</f>
        <v>29</v>
      </c>
      <c r="E37" s="15" t="n">
        <f aca="false">SUM(E34:E36)</f>
        <v>114</v>
      </c>
      <c r="F37" s="15" t="n">
        <f aca="false">SUM(F34:F36)</f>
        <v>185</v>
      </c>
      <c r="G37" s="15" t="n">
        <f aca="false">SUM(G34:G36)</f>
        <v>258</v>
      </c>
      <c r="H37" s="15" t="n">
        <f aca="false">SUM(H34:H36)</f>
        <v>332</v>
      </c>
      <c r="I37" s="15" t="n">
        <f aca="false">SUM(I34:I36)</f>
        <v>409</v>
      </c>
      <c r="J37" s="15" t="n">
        <f aca="false">SUM(J34:J36)</f>
        <v>489</v>
      </c>
    </row>
    <row r="38" customFormat="false" ht="15" hidden="false" customHeight="true" outlineLevel="0" collapsed="false">
      <c r="A38" s="24" t="s">
        <v>102</v>
      </c>
      <c r="B38" s="25" t="n">
        <f aca="false">B31+B37</f>
        <v>2130</v>
      </c>
      <c r="C38" s="25" t="n">
        <f aca="false">C31+C37</f>
        <v>2021</v>
      </c>
      <c r="D38" s="25" t="n">
        <f aca="false">D31+D37</f>
        <v>1983</v>
      </c>
      <c r="E38" s="25" t="n">
        <f aca="false">E31+E37</f>
        <v>1892</v>
      </c>
      <c r="F38" s="25" t="n">
        <f aca="false">F31+F37</f>
        <v>1783</v>
      </c>
      <c r="G38" s="25" t="n">
        <f aca="false">G31+G37</f>
        <v>1679</v>
      </c>
      <c r="H38" s="25" t="n">
        <f aca="false">H31+H37</f>
        <v>1582</v>
      </c>
      <c r="I38" s="25" t="n">
        <f aca="false">I31+I37</f>
        <v>1501</v>
      </c>
      <c r="J38" s="25" t="n">
        <f aca="false">J31+J37</f>
        <v>1437</v>
      </c>
    </row>
    <row r="40" customFormat="false" ht="15" hidden="false" customHeight="true" outlineLevel="0" collapsed="false">
      <c r="A40" s="5" t="s">
        <v>103</v>
      </c>
      <c r="B40" s="6"/>
      <c r="C40" s="6"/>
      <c r="D40" s="6"/>
      <c r="E40" s="6"/>
      <c r="F40" s="6"/>
      <c r="G40" s="6"/>
      <c r="H40" s="6"/>
      <c r="I40" s="6"/>
      <c r="J40" s="6"/>
    </row>
    <row r="41" customFormat="false" ht="15" hidden="false" customHeight="true" outlineLevel="0" collapsed="false">
      <c r="A41" s="26" t="s">
        <v>27</v>
      </c>
      <c r="B41" s="27" t="n">
        <f aca="false">Assumptions!B22</f>
        <v>1400</v>
      </c>
      <c r="C41" s="27" t="n">
        <f aca="false">Assumptions!C22</f>
        <v>1270</v>
      </c>
      <c r="D41" s="27" t="n">
        <f aca="false">Assumptions!D22</f>
        <v>1150</v>
      </c>
      <c r="E41" s="27" t="n">
        <f aca="false">Assumptions!E22</f>
        <v>1010</v>
      </c>
      <c r="F41" s="27" t="n">
        <f aca="false">Assumptions!F22</f>
        <v>870</v>
      </c>
      <c r="G41" s="27" t="n">
        <f aca="false">Assumptions!G22</f>
        <v>730</v>
      </c>
      <c r="H41" s="27" t="n">
        <f aca="false">Assumptions!H22</f>
        <v>590</v>
      </c>
      <c r="I41" s="27" t="n">
        <f aca="false">Assumptions!I22</f>
        <v>460</v>
      </c>
      <c r="J41" s="27" t="n">
        <f aca="false">Assumptions!J22</f>
        <v>340</v>
      </c>
    </row>
    <row r="42" customFormat="false" ht="15" hidden="false" customHeight="true" outlineLevel="0" collapsed="false">
      <c r="A42" s="26" t="s">
        <v>104</v>
      </c>
      <c r="B42" s="28" t="n">
        <f aca="false">B41-B6</f>
        <v>1332</v>
      </c>
      <c r="C42" s="28" t="n">
        <f aca="false">C41-C6</f>
        <v>1197</v>
      </c>
      <c r="D42" s="28" t="n">
        <f aca="false">D41-D6</f>
        <v>1044</v>
      </c>
      <c r="E42" s="28" t="n">
        <f aca="false">E41-E6</f>
        <v>925</v>
      </c>
      <c r="F42" s="28" t="n">
        <f aca="false">F41-F6</f>
        <v>795</v>
      </c>
      <c r="G42" s="28" t="n">
        <f aca="false">G41-G6</f>
        <v>650</v>
      </c>
      <c r="H42" s="28" t="n">
        <f aca="false">H41-H6</f>
        <v>500</v>
      </c>
      <c r="I42" s="28" t="n">
        <f aca="false">I41-I6</f>
        <v>355</v>
      </c>
      <c r="J42" s="28" t="n">
        <f aca="false">J41-J6</f>
        <v>220</v>
      </c>
    </row>
    <row r="43" customFormat="false" ht="15" hidden="false" customHeight="true" outlineLevel="0" collapsed="false">
      <c r="A43" s="29" t="s">
        <v>105</v>
      </c>
      <c r="B43" s="30" t="n">
        <f aca="false">B42/'Income Statement'!B34</f>
        <v>5.21943573667712</v>
      </c>
      <c r="C43" s="30" t="n">
        <f aca="false">C42/'Income Statement'!C34</f>
        <v>4.54545454545455</v>
      </c>
      <c r="D43" s="30" t="n">
        <f aca="false">D42/'Income Statement'!D34</f>
        <v>3.86666666666667</v>
      </c>
      <c r="E43" s="30" t="n">
        <f aca="false">E42/'Income Statement'!E34</f>
        <v>3.32160298764723</v>
      </c>
      <c r="F43" s="30" t="n">
        <f aca="false">F42/'Income Statement'!F34</f>
        <v>2.59803921568627</v>
      </c>
      <c r="G43" s="30" t="n">
        <f aca="false">G42/'Income Statement'!G34</f>
        <v>2.0285874789339</v>
      </c>
      <c r="H43" s="30" t="n">
        <f aca="false">H42/'Income Statement'!H34</f>
        <v>1.48104265402844</v>
      </c>
      <c r="I43" s="30" t="n">
        <f aca="false">I42/'Income Statement'!I34</f>
        <v>0.999155643118491</v>
      </c>
      <c r="J43" s="30" t="n">
        <f aca="false">J42/'Income Statement'!J34</f>
        <v>0.588550026752274</v>
      </c>
    </row>
    <row r="44" customFormat="false" ht="15" hidden="false" customHeight="true" outlineLevel="0" collapsed="false">
      <c r="A44" s="7" t="s">
        <v>106</v>
      </c>
      <c r="B44" s="31" t="n">
        <f aca="false">'Income Statement'!B34/Assumptions!B17</f>
        <v>1.99375</v>
      </c>
      <c r="C44" s="31" t="n">
        <f aca="false">'Income Statement'!C34/Assumptions!C17</f>
        <v>2.02569230769231</v>
      </c>
      <c r="D44" s="31" t="n">
        <f aca="false">'Income Statement'!D34/Assumptions!D17</f>
        <v>2.04545454545455</v>
      </c>
      <c r="E44" s="31" t="n">
        <f aca="false">'Income Statement'!E34/Assumptions!E17</f>
        <v>2.28262295081967</v>
      </c>
      <c r="F44" s="31" t="n">
        <f aca="false">'Income Statement'!F34/Assumptions!F17</f>
        <v>2.78181818181818</v>
      </c>
      <c r="G44" s="31" t="n">
        <f aca="false">'Income Statement'!G34/Assumptions!G17</f>
        <v>3.26959183673469</v>
      </c>
      <c r="H44" s="31" t="n">
        <f aca="false">'Income Statement'!H34/Assumptions!H17</f>
        <v>4.11707317073171</v>
      </c>
      <c r="I44" s="31" t="n">
        <f aca="false">'Income Statement'!I34/Assumptions!I17</f>
        <v>5.225</v>
      </c>
      <c r="J44" s="31" t="n">
        <f aca="false">'Income Statement'!J34/Assumptions!J17</f>
        <v>6.79636363636364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J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10" min="2" style="1" width="12"/>
  </cols>
  <sheetData>
    <row r="1" customFormat="false" ht="18" hidden="false" customHeight="true" outlineLevel="0" collapsed="false">
      <c r="A1" s="2" t="s">
        <v>107</v>
      </c>
    </row>
    <row r="2" customFormat="false" ht="15" hidden="false" customHeight="true" outlineLevel="0" collapsed="false">
      <c r="A2" s="3" t="s">
        <v>41</v>
      </c>
    </row>
    <row r="4" customFormat="false" ht="25.5" hidden="false" customHeight="true" outlineLevel="0" collapsed="false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customFormat="false" ht="15" hidden="false" customHeight="true" outlineLevel="0" collapsed="false">
      <c r="A5" s="5" t="s">
        <v>108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5" hidden="false" customHeight="true" outlineLevel="0" collapsed="false">
      <c r="A6" s="7" t="s">
        <v>63</v>
      </c>
      <c r="B6" s="13" t="n">
        <f aca="false">'Income Statement'!B30</f>
        <v>-97.8</v>
      </c>
      <c r="C6" s="13" t="n">
        <f aca="false">'Income Statement'!C30</f>
        <v>-28.66</v>
      </c>
      <c r="D6" s="13" t="n">
        <f aca="false">'Income Statement'!D30</f>
        <v>-67</v>
      </c>
      <c r="E6" s="13" t="n">
        <f aca="false">'Income Statement'!E30</f>
        <v>-23.52</v>
      </c>
      <c r="F6" s="13" t="n">
        <f aca="false">'Income Statement'!F30</f>
        <v>20.8</v>
      </c>
      <c r="G6" s="13" t="n">
        <f aca="false">'Income Statement'!G30</f>
        <v>48.6876</v>
      </c>
      <c r="H6" s="13" t="n">
        <f aca="false">'Income Statement'!H30</f>
        <v>82.368</v>
      </c>
      <c r="I6" s="13" t="n">
        <f aca="false">'Income Statement'!I30</f>
        <v>114.894</v>
      </c>
      <c r="J6" s="13" t="n">
        <f aca="false">'Income Statement'!J30</f>
        <v>143.364</v>
      </c>
    </row>
    <row r="7" customFormat="false" ht="15" hidden="false" customHeight="true" outlineLevel="0" collapsed="false">
      <c r="A7" s="7" t="s">
        <v>109</v>
      </c>
      <c r="B7" s="13" t="n">
        <f aca="false">Assumptions!B16</f>
        <v>210</v>
      </c>
      <c r="C7" s="13" t="n">
        <f aca="false">Assumptions!C16</f>
        <v>200</v>
      </c>
      <c r="D7" s="13" t="n">
        <f aca="false">Assumptions!D16</f>
        <v>195</v>
      </c>
      <c r="E7" s="13" t="n">
        <f aca="false">Assumptions!E16</f>
        <v>185</v>
      </c>
      <c r="F7" s="13" t="n">
        <f aca="false">Assumptions!F16</f>
        <v>175</v>
      </c>
      <c r="G7" s="13" t="n">
        <f aca="false">Assumptions!G16</f>
        <v>165</v>
      </c>
      <c r="H7" s="13" t="n">
        <f aca="false">Assumptions!H16</f>
        <v>155</v>
      </c>
      <c r="I7" s="13" t="n">
        <f aca="false">Assumptions!I16</f>
        <v>145</v>
      </c>
      <c r="J7" s="13" t="n">
        <f aca="false">Assumptions!J16</f>
        <v>140</v>
      </c>
    </row>
    <row r="8" customFormat="false" ht="15" hidden="false" customHeight="true" outlineLevel="0" collapsed="false">
      <c r="A8" s="7" t="s">
        <v>110</v>
      </c>
      <c r="B8" s="13" t="n">
        <f aca="false">Assumptions!B19</f>
        <v>85</v>
      </c>
      <c r="C8" s="13" t="n">
        <f aca="false">Assumptions!C19</f>
        <v>75</v>
      </c>
      <c r="D8" s="13" t="n">
        <f aca="false">Assumptions!D19</f>
        <v>60</v>
      </c>
      <c r="E8" s="13" t="n">
        <f aca="false">Assumptions!E19</f>
        <v>70</v>
      </c>
      <c r="F8" s="13" t="n">
        <f aca="false">Assumptions!F19</f>
        <v>55</v>
      </c>
      <c r="G8" s="13" t="n">
        <f aca="false">Assumptions!G19</f>
        <v>45</v>
      </c>
      <c r="H8" s="13" t="n">
        <f aca="false">Assumptions!H19</f>
        <v>35</v>
      </c>
      <c r="I8" s="13" t="n">
        <f aca="false">Assumptions!I19</f>
        <v>25</v>
      </c>
      <c r="J8" s="13" t="n">
        <f aca="false">Assumptions!J19</f>
        <v>20</v>
      </c>
    </row>
    <row r="9" customFormat="false" ht="15" hidden="false" customHeight="true" outlineLevel="0" collapsed="false">
      <c r="A9" s="7" t="s">
        <v>111</v>
      </c>
      <c r="B9" s="8" t="n">
        <v>-40</v>
      </c>
      <c r="C9" s="8" t="n">
        <v>-35</v>
      </c>
      <c r="D9" s="8" t="n">
        <v>-110</v>
      </c>
      <c r="E9" s="8" t="n">
        <v>20</v>
      </c>
      <c r="F9" s="8" t="n">
        <v>15</v>
      </c>
      <c r="G9" s="8" t="n">
        <v>10</v>
      </c>
      <c r="H9" s="8" t="n">
        <v>10</v>
      </c>
      <c r="I9" s="8" t="n">
        <v>8</v>
      </c>
      <c r="J9" s="8" t="n">
        <v>8</v>
      </c>
    </row>
    <row r="10" customFormat="false" ht="15" hidden="false" customHeight="true" outlineLevel="0" collapsed="false">
      <c r="A10" s="7" t="s">
        <v>112</v>
      </c>
      <c r="B10" s="13" t="n">
        <f aca="false">Assumptions!B25</f>
        <v>-20</v>
      </c>
      <c r="C10" s="13" t="n">
        <f aca="false">Assumptions!C25</f>
        <v>-15</v>
      </c>
      <c r="D10" s="13" t="n">
        <f aca="false">Assumptions!D25</f>
        <v>-10</v>
      </c>
      <c r="E10" s="13" t="n">
        <f aca="false">Assumptions!E25</f>
        <v>-5</v>
      </c>
      <c r="F10" s="13" t="n">
        <f aca="false">Assumptions!F25</f>
        <v>-5</v>
      </c>
      <c r="G10" s="13" t="n">
        <f aca="false">Assumptions!G25</f>
        <v>-5</v>
      </c>
      <c r="H10" s="13" t="n">
        <f aca="false">Assumptions!H25</f>
        <v>0</v>
      </c>
      <c r="I10" s="13" t="n">
        <f aca="false">Assumptions!I25</f>
        <v>0</v>
      </c>
      <c r="J10" s="13" t="n">
        <f aca="false">Assumptions!J25</f>
        <v>0</v>
      </c>
    </row>
    <row r="11" customFormat="false" ht="15" hidden="false" customHeight="true" outlineLevel="0" collapsed="false">
      <c r="A11" s="14" t="s">
        <v>113</v>
      </c>
      <c r="B11" s="15" t="n">
        <f aca="false">SUM(B6:B10)</f>
        <v>137.2</v>
      </c>
      <c r="C11" s="15" t="n">
        <f aca="false">SUM(C6:C10)</f>
        <v>196.34</v>
      </c>
      <c r="D11" s="15" t="n">
        <f aca="false">SUM(D6:D10)</f>
        <v>68</v>
      </c>
      <c r="E11" s="15" t="n">
        <f aca="false">SUM(E6:E10)</f>
        <v>246.48</v>
      </c>
      <c r="F11" s="15" t="n">
        <f aca="false">SUM(F6:F10)</f>
        <v>260.8</v>
      </c>
      <c r="G11" s="15" t="n">
        <f aca="false">SUM(G6:G10)</f>
        <v>263.6876</v>
      </c>
      <c r="H11" s="15" t="n">
        <f aca="false">SUM(H6:H10)</f>
        <v>282.368</v>
      </c>
      <c r="I11" s="15" t="n">
        <f aca="false">SUM(I6:I10)</f>
        <v>292.894</v>
      </c>
      <c r="J11" s="15" t="n">
        <f aca="false">SUM(J6:J10)</f>
        <v>311.364</v>
      </c>
    </row>
    <row r="13" customFormat="false" ht="15" hidden="false" customHeight="true" outlineLevel="0" collapsed="false">
      <c r="A13" s="5" t="s">
        <v>114</v>
      </c>
      <c r="B13" s="6"/>
      <c r="C13" s="6"/>
      <c r="D13" s="6"/>
      <c r="E13" s="6"/>
      <c r="F13" s="6"/>
      <c r="G13" s="6"/>
      <c r="H13" s="6"/>
      <c r="I13" s="6"/>
      <c r="J13" s="6"/>
    </row>
    <row r="14" customFormat="false" ht="15" hidden="false" customHeight="true" outlineLevel="0" collapsed="false">
      <c r="A14" s="7" t="s">
        <v>115</v>
      </c>
      <c r="B14" s="13" t="n">
        <f aca="false">-Assumptions!B24</f>
        <v>-45</v>
      </c>
      <c r="C14" s="13" t="n">
        <f aca="false">-Assumptions!C24</f>
        <v>-40</v>
      </c>
      <c r="D14" s="13" t="n">
        <f aca="false">-Assumptions!D24</f>
        <v>-35</v>
      </c>
      <c r="E14" s="13" t="n">
        <f aca="false">-Assumptions!E24</f>
        <v>-50</v>
      </c>
      <c r="F14" s="13" t="n">
        <f aca="false">-Assumptions!F24</f>
        <v>-55</v>
      </c>
      <c r="G14" s="13" t="n">
        <f aca="false">-Assumptions!G24</f>
        <v>-50</v>
      </c>
      <c r="H14" s="13" t="n">
        <f aca="false">-Assumptions!H24</f>
        <v>-48</v>
      </c>
      <c r="I14" s="13" t="n">
        <f aca="false">-Assumptions!I24</f>
        <v>-45</v>
      </c>
      <c r="J14" s="13" t="n">
        <f aca="false">-Assumptions!J24</f>
        <v>-42</v>
      </c>
    </row>
    <row r="15" customFormat="false" ht="15" hidden="false" customHeight="true" outlineLevel="0" collapsed="false">
      <c r="A15" s="7" t="s">
        <v>116</v>
      </c>
      <c r="B15" s="8" t="n">
        <v>25</v>
      </c>
      <c r="C15" s="8" t="n">
        <v>38</v>
      </c>
      <c r="D15" s="8" t="n">
        <v>15</v>
      </c>
      <c r="E15" s="8" t="n">
        <v>20</v>
      </c>
      <c r="F15" s="8" t="n">
        <v>15</v>
      </c>
      <c r="G15" s="8" t="n">
        <v>10</v>
      </c>
      <c r="H15" s="8" t="n">
        <v>8</v>
      </c>
      <c r="I15" s="8" t="n">
        <v>5</v>
      </c>
      <c r="J15" s="8" t="n">
        <v>5</v>
      </c>
    </row>
    <row r="16" customFormat="false" ht="15" hidden="false" customHeight="true" outlineLevel="0" collapsed="false">
      <c r="A16" s="14" t="s">
        <v>117</v>
      </c>
      <c r="B16" s="15" t="n">
        <f aca="false">B14+B15</f>
        <v>-20</v>
      </c>
      <c r="C16" s="15" t="n">
        <f aca="false">C14+C15</f>
        <v>-2</v>
      </c>
      <c r="D16" s="15" t="n">
        <f aca="false">D14+D15</f>
        <v>-20</v>
      </c>
      <c r="E16" s="15" t="n">
        <f aca="false">E14+E15</f>
        <v>-30</v>
      </c>
      <c r="F16" s="15" t="n">
        <f aca="false">F14+F15</f>
        <v>-40</v>
      </c>
      <c r="G16" s="15" t="n">
        <f aca="false">G14+G15</f>
        <v>-40</v>
      </c>
      <c r="H16" s="15" t="n">
        <f aca="false">H14+H15</f>
        <v>-40</v>
      </c>
      <c r="I16" s="15" t="n">
        <f aca="false">I14+I15</f>
        <v>-40</v>
      </c>
      <c r="J16" s="15" t="n">
        <f aca="false">J14+J15</f>
        <v>-37</v>
      </c>
    </row>
    <row r="18" customFormat="false" ht="15" hidden="false" customHeight="true" outlineLevel="0" collapsed="false">
      <c r="A18" s="5" t="s">
        <v>118</v>
      </c>
      <c r="B18" s="6"/>
      <c r="C18" s="6"/>
      <c r="D18" s="6"/>
      <c r="E18" s="6"/>
      <c r="F18" s="6"/>
      <c r="G18" s="6"/>
      <c r="H18" s="6"/>
      <c r="I18" s="6"/>
      <c r="J18" s="6"/>
    </row>
    <row r="19" customFormat="false" ht="15" hidden="false" customHeight="true" outlineLevel="0" collapsed="false">
      <c r="A19" s="7" t="s">
        <v>119</v>
      </c>
      <c r="B19" s="13" t="n">
        <f aca="false">-Assumptions!B23</f>
        <v>-130</v>
      </c>
      <c r="C19" s="13" t="n">
        <f aca="false">-Assumptions!C23</f>
        <v>-130</v>
      </c>
      <c r="D19" s="13" t="n">
        <f aca="false">-Assumptions!D23</f>
        <v>-120</v>
      </c>
      <c r="E19" s="13" t="n">
        <f aca="false">-Assumptions!E23</f>
        <v>-140</v>
      </c>
      <c r="F19" s="13" t="n">
        <f aca="false">-Assumptions!F23</f>
        <v>-140</v>
      </c>
      <c r="G19" s="13" t="n">
        <f aca="false">-Assumptions!G23</f>
        <v>-140</v>
      </c>
      <c r="H19" s="13" t="n">
        <f aca="false">-Assumptions!H23</f>
        <v>-140</v>
      </c>
      <c r="I19" s="13" t="n">
        <f aca="false">-Assumptions!I23</f>
        <v>-130</v>
      </c>
      <c r="J19" s="13" t="n">
        <f aca="false">-Assumptions!J23</f>
        <v>-120</v>
      </c>
    </row>
    <row r="20" customFormat="false" ht="15" hidden="false" customHeight="true" outlineLevel="0" collapsed="false">
      <c r="A20" s="7" t="s">
        <v>120</v>
      </c>
      <c r="B20" s="8" t="n">
        <v>-8</v>
      </c>
      <c r="C20" s="8" t="n">
        <v>-8</v>
      </c>
      <c r="D20" s="8" t="n">
        <v>-5</v>
      </c>
      <c r="E20" s="8" t="n">
        <v>-5</v>
      </c>
      <c r="F20" s="8" t="n">
        <v>-5</v>
      </c>
      <c r="G20" s="8" t="n">
        <v>-5</v>
      </c>
      <c r="H20" s="8" t="n">
        <v>-5</v>
      </c>
      <c r="I20" s="8" t="n">
        <v>-5</v>
      </c>
      <c r="J20" s="8" t="n">
        <v>-5</v>
      </c>
    </row>
    <row r="21" customFormat="false" ht="15" hidden="false" customHeight="true" outlineLevel="0" collapsed="false">
      <c r="A21" s="14" t="s">
        <v>121</v>
      </c>
      <c r="B21" s="15" t="n">
        <f aca="false">B19+B20</f>
        <v>-138</v>
      </c>
      <c r="C21" s="15" t="n">
        <f aca="false">C19+C20</f>
        <v>-138</v>
      </c>
      <c r="D21" s="15" t="n">
        <f aca="false">D19+D20</f>
        <v>-125</v>
      </c>
      <c r="E21" s="15" t="n">
        <f aca="false">E19+E20</f>
        <v>-145</v>
      </c>
      <c r="F21" s="15" t="n">
        <f aca="false">F19+F20</f>
        <v>-145</v>
      </c>
      <c r="G21" s="15" t="n">
        <f aca="false">G19+G20</f>
        <v>-145</v>
      </c>
      <c r="H21" s="15" t="n">
        <f aca="false">H19+H20</f>
        <v>-145</v>
      </c>
      <c r="I21" s="15" t="n">
        <f aca="false">I19+I20</f>
        <v>-135</v>
      </c>
      <c r="J21" s="15" t="n">
        <f aca="false">J19+J20</f>
        <v>-125</v>
      </c>
    </row>
    <row r="23" customFormat="false" ht="15" hidden="false" customHeight="true" outlineLevel="0" collapsed="false">
      <c r="A23" s="5" t="s">
        <v>122</v>
      </c>
      <c r="B23" s="19" t="n">
        <f aca="false">B11+B16+B21</f>
        <v>-20.8</v>
      </c>
      <c r="C23" s="19" t="n">
        <f aca="false">C11+C16+C21</f>
        <v>56.34</v>
      </c>
      <c r="D23" s="19" t="n">
        <f aca="false">D11+D16+D21</f>
        <v>-77</v>
      </c>
      <c r="E23" s="19" t="n">
        <f aca="false">E11+E16+E21</f>
        <v>71.48</v>
      </c>
      <c r="F23" s="19" t="n">
        <f aca="false">F11+F16+F21</f>
        <v>75.8</v>
      </c>
      <c r="G23" s="19" t="n">
        <f aca="false">G11+G16+G21</f>
        <v>78.6876</v>
      </c>
      <c r="H23" s="19" t="n">
        <f aca="false">H11+H16+H21</f>
        <v>97.3680000000001</v>
      </c>
      <c r="I23" s="19" t="n">
        <f aca="false">I11+I16+I21</f>
        <v>117.894</v>
      </c>
      <c r="J23" s="19" t="n">
        <f aca="false">J11+J16+J21</f>
        <v>149.364</v>
      </c>
    </row>
    <row r="24" customFormat="false" ht="15" hidden="false" customHeight="true" outlineLevel="0" collapsed="false">
      <c r="A24" s="7" t="s">
        <v>123</v>
      </c>
      <c r="B24" s="8" t="n">
        <v>43</v>
      </c>
      <c r="C24" s="18" t="n">
        <f aca="false">B25</f>
        <v>22.2</v>
      </c>
      <c r="D24" s="18" t="n">
        <f aca="false">C25</f>
        <v>78.5400000000001</v>
      </c>
      <c r="E24" s="18" t="n">
        <f aca="false">D25</f>
        <v>1.54000000000008</v>
      </c>
      <c r="F24" s="18" t="n">
        <f aca="false">E25</f>
        <v>73.0200000000001</v>
      </c>
      <c r="G24" s="18" t="n">
        <f aca="false">F25</f>
        <v>148.82</v>
      </c>
      <c r="H24" s="18" t="n">
        <f aca="false">G25</f>
        <v>227.5076</v>
      </c>
      <c r="I24" s="18" t="n">
        <f aca="false">H25</f>
        <v>324.8756</v>
      </c>
      <c r="J24" s="18" t="n">
        <f aca="false">I25</f>
        <v>442.7696</v>
      </c>
    </row>
    <row r="25" customFormat="false" ht="15" hidden="false" customHeight="true" outlineLevel="0" collapsed="false">
      <c r="A25" s="14" t="s">
        <v>124</v>
      </c>
      <c r="B25" s="15" t="n">
        <f aca="false">B24+B23</f>
        <v>22.2</v>
      </c>
      <c r="C25" s="15" t="n">
        <f aca="false">C24+C23</f>
        <v>78.5400000000001</v>
      </c>
      <c r="D25" s="15" t="n">
        <f aca="false">D24+D23</f>
        <v>1.54000000000008</v>
      </c>
      <c r="E25" s="15" t="n">
        <f aca="false">E24+E23</f>
        <v>73.0200000000001</v>
      </c>
      <c r="F25" s="15" t="n">
        <f aca="false">F24+F23</f>
        <v>148.82</v>
      </c>
      <c r="G25" s="15" t="n">
        <f aca="false">G24+G23</f>
        <v>227.5076</v>
      </c>
      <c r="H25" s="15" t="n">
        <f aca="false">H24+H23</f>
        <v>324.8756</v>
      </c>
      <c r="I25" s="15" t="n">
        <f aca="false">I24+I23</f>
        <v>442.7696</v>
      </c>
      <c r="J25" s="15" t="n">
        <f aca="false">J24+J23</f>
        <v>592.1336</v>
      </c>
    </row>
    <row r="27" customFormat="false" ht="15" hidden="false" customHeight="true" outlineLevel="0" collapsed="false">
      <c r="A27" s="5" t="s">
        <v>125</v>
      </c>
      <c r="B27" s="6"/>
      <c r="C27" s="6"/>
      <c r="D27" s="6"/>
      <c r="E27" s="6"/>
      <c r="F27" s="6"/>
      <c r="G27" s="6"/>
      <c r="H27" s="6"/>
      <c r="I27" s="6"/>
      <c r="J27" s="6"/>
    </row>
    <row r="28" customFormat="false" ht="15" hidden="false" customHeight="true" outlineLevel="0" collapsed="false">
      <c r="A28" s="7" t="s">
        <v>126</v>
      </c>
      <c r="B28" s="18" t="n">
        <f aca="false">B11</f>
        <v>137.2</v>
      </c>
      <c r="C28" s="18" t="n">
        <f aca="false">C11</f>
        <v>196.34</v>
      </c>
      <c r="D28" s="18" t="n">
        <f aca="false">D11</f>
        <v>68</v>
      </c>
      <c r="E28" s="18" t="n">
        <f aca="false">E11</f>
        <v>246.48</v>
      </c>
      <c r="F28" s="18" t="n">
        <f aca="false">F11</f>
        <v>260.8</v>
      </c>
      <c r="G28" s="18" t="n">
        <f aca="false">G11</f>
        <v>263.6876</v>
      </c>
      <c r="H28" s="18" t="n">
        <f aca="false">H11</f>
        <v>282.368</v>
      </c>
      <c r="I28" s="18" t="n">
        <f aca="false">I11</f>
        <v>292.894</v>
      </c>
      <c r="J28" s="18" t="n">
        <f aca="false">J11</f>
        <v>311.364</v>
      </c>
    </row>
    <row r="29" customFormat="false" ht="15" hidden="false" customHeight="true" outlineLevel="0" collapsed="false">
      <c r="A29" s="7" t="s">
        <v>127</v>
      </c>
      <c r="B29" s="18" t="n">
        <f aca="false">B14</f>
        <v>-45</v>
      </c>
      <c r="C29" s="18" t="n">
        <f aca="false">C14</f>
        <v>-40</v>
      </c>
      <c r="D29" s="18" t="n">
        <f aca="false">D14</f>
        <v>-35</v>
      </c>
      <c r="E29" s="18" t="n">
        <f aca="false">E14</f>
        <v>-50</v>
      </c>
      <c r="F29" s="18" t="n">
        <f aca="false">F14</f>
        <v>-55</v>
      </c>
      <c r="G29" s="18" t="n">
        <f aca="false">G14</f>
        <v>-50</v>
      </c>
      <c r="H29" s="18" t="n">
        <f aca="false">H14</f>
        <v>-48</v>
      </c>
      <c r="I29" s="18" t="n">
        <f aca="false">I14</f>
        <v>-45</v>
      </c>
      <c r="J29" s="18" t="n">
        <f aca="false">J14</f>
        <v>-42</v>
      </c>
    </row>
    <row r="30" customFormat="false" ht="15" hidden="false" customHeight="true" outlineLevel="0" collapsed="false">
      <c r="A30" s="14" t="s">
        <v>128</v>
      </c>
      <c r="B30" s="15" t="n">
        <f aca="false">B28+B29</f>
        <v>92.2000000000001</v>
      </c>
      <c r="C30" s="15" t="n">
        <f aca="false">C28+C29</f>
        <v>156.34</v>
      </c>
      <c r="D30" s="15" t="n">
        <f aca="false">D28+D29</f>
        <v>33</v>
      </c>
      <c r="E30" s="15" t="n">
        <f aca="false">E28+E29</f>
        <v>196.48</v>
      </c>
      <c r="F30" s="15" t="n">
        <f aca="false">F28+F29</f>
        <v>205.8</v>
      </c>
      <c r="G30" s="15" t="n">
        <f aca="false">G28+G29</f>
        <v>213.6876</v>
      </c>
      <c r="H30" s="15" t="n">
        <f aca="false">H28+H29</f>
        <v>234.368</v>
      </c>
      <c r="I30" s="15" t="n">
        <f aca="false">I28+I29</f>
        <v>247.894</v>
      </c>
      <c r="J30" s="15" t="n">
        <f aca="false">J28+J29</f>
        <v>269.364</v>
      </c>
    </row>
    <row r="31" customFormat="false" ht="15" hidden="false" customHeight="true" outlineLevel="0" collapsed="false">
      <c r="A31" s="16" t="s">
        <v>129</v>
      </c>
      <c r="B31" s="17" t="n">
        <f aca="false">B30/'Income Statement'!B8</f>
        <v>0.0317931034482759</v>
      </c>
      <c r="C31" s="17" t="n">
        <f aca="false">C30/'Income Statement'!C8</f>
        <v>0.0587744360902256</v>
      </c>
      <c r="D31" s="17" t="n">
        <f aca="false">D30/'Income Statement'!D8</f>
        <v>0.0132</v>
      </c>
      <c r="E31" s="17" t="n">
        <f aca="false">E30/'Income Statement'!E8</f>
        <v>0.0832542372881356</v>
      </c>
      <c r="F31" s="17" t="n">
        <f aca="false">F30/'Income Statement'!F8</f>
        <v>0.0914666666666667</v>
      </c>
      <c r="G31" s="17" t="n">
        <f aca="false">G30/'Income Statement'!G8</f>
        <v>0.0987009699769053</v>
      </c>
      <c r="H31" s="17" t="n">
        <f aca="false">H30/'Income Statement'!H8</f>
        <v>0.111074881516588</v>
      </c>
      <c r="I31" s="17" t="n">
        <f aca="false">I30/'Income Statement'!I8</f>
        <v>0.11860956937799</v>
      </c>
      <c r="J31" s="17" t="n">
        <f aca="false">J30/'Income Statement'!J8</f>
        <v>0.128268571428571</v>
      </c>
    </row>
    <row r="32" customFormat="false" ht="15" hidden="false" customHeight="true" outlineLevel="0" collapsed="false">
      <c r="A32" s="16" t="s">
        <v>130</v>
      </c>
      <c r="B32" s="32" t="n">
        <f aca="false">B30/Assumptions!B26</f>
        <v>0.631506849315069</v>
      </c>
      <c r="C32" s="32" t="n">
        <f aca="false">C30/Assumptions!C26</f>
        <v>1.06353741496599</v>
      </c>
      <c r="D32" s="32" t="n">
        <f aca="false">D30/Assumptions!D26</f>
        <v>0.224489795918367</v>
      </c>
      <c r="E32" s="32" t="n">
        <f aca="false">E30/Assumptions!E26</f>
        <v>1.32756756756757</v>
      </c>
      <c r="F32" s="32" t="n">
        <f aca="false">F30/Assumptions!F26</f>
        <v>1.38120805369128</v>
      </c>
      <c r="G32" s="32" t="n">
        <f aca="false">G30/Assumptions!G26</f>
        <v>1.424584</v>
      </c>
      <c r="H32" s="32" t="n">
        <f aca="false">H30/Assumptions!H26</f>
        <v>1.5521059602649</v>
      </c>
      <c r="I32" s="32" t="n">
        <f aca="false">I30/Assumptions!I26</f>
        <v>1.63088157894737</v>
      </c>
      <c r="J32" s="32" t="n">
        <f aca="false">J30/Assumptions!J26</f>
        <v>1.76054901960784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A1:J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4"/>
    <col collapsed="false" customWidth="true" hidden="false" outlineLevel="0" max="10" min="2" style="1" width="12"/>
  </cols>
  <sheetData>
    <row r="1" customFormat="false" ht="18" hidden="false" customHeight="true" outlineLevel="0" collapsed="false">
      <c r="A1" s="2" t="s">
        <v>131</v>
      </c>
    </row>
    <row r="2" customFormat="false" ht="15" hidden="false" customHeight="true" outlineLevel="0" collapsed="false">
      <c r="A2" s="3" t="s">
        <v>41</v>
      </c>
    </row>
    <row r="4" customFormat="false" ht="25.5" hidden="false" customHeight="true" outlineLevel="0" collapsed="false">
      <c r="A4" s="4" t="s">
        <v>132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customFormat="false" ht="15" hidden="false" customHeight="true" outlineLevel="0" collapsed="false">
      <c r="A5" s="5" t="s">
        <v>133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5" hidden="false" customHeight="true" outlineLevel="0" collapsed="false">
      <c r="A6" s="14" t="s">
        <v>70</v>
      </c>
      <c r="B6" s="33" t="n">
        <f aca="false">'Income Statement'!B40</f>
        <v>-0.66986301369863</v>
      </c>
      <c r="C6" s="33" t="n">
        <f aca="false">'Income Statement'!C40</f>
        <v>-0.194965986394558</v>
      </c>
      <c r="D6" s="33" t="n">
        <f aca="false">'Income Statement'!D40</f>
        <v>-0.45578231292517</v>
      </c>
      <c r="E6" s="33" t="n">
        <f aca="false">'Income Statement'!E40</f>
        <v>-0.158918918918919</v>
      </c>
      <c r="F6" s="33" t="n">
        <f aca="false">'Income Statement'!F40</f>
        <v>0.139597315436242</v>
      </c>
      <c r="G6" s="33" t="n">
        <f aca="false">'Income Statement'!G40</f>
        <v>0.324584</v>
      </c>
      <c r="H6" s="33" t="n">
        <f aca="false">'Income Statement'!H40</f>
        <v>0.54548344370861</v>
      </c>
      <c r="I6" s="33" t="n">
        <f aca="false">'Income Statement'!I40</f>
        <v>0.755881578947368</v>
      </c>
      <c r="J6" s="33" t="n">
        <f aca="false">'Income Statement'!J40</f>
        <v>0.937019607843137</v>
      </c>
    </row>
    <row r="7" customFormat="false" ht="15" hidden="false" customHeight="true" outlineLevel="0" collapsed="false">
      <c r="A7" s="14" t="s">
        <v>134</v>
      </c>
      <c r="B7" s="33" t="n">
        <f aca="false">'Cash Flow Statement'!B30/Assumptions!B26</f>
        <v>0.631506849315069</v>
      </c>
      <c r="C7" s="33" t="n">
        <f aca="false">'Cash Flow Statement'!C30/Assumptions!C26</f>
        <v>1.06353741496599</v>
      </c>
      <c r="D7" s="33" t="n">
        <f aca="false">'Cash Flow Statement'!D30/Assumptions!D26</f>
        <v>0.224489795918367</v>
      </c>
      <c r="E7" s="33" t="n">
        <f aca="false">'Cash Flow Statement'!E30/Assumptions!E26</f>
        <v>1.32756756756757</v>
      </c>
      <c r="F7" s="33" t="n">
        <f aca="false">'Cash Flow Statement'!F30/Assumptions!F26</f>
        <v>1.38120805369128</v>
      </c>
      <c r="G7" s="33" t="n">
        <f aca="false">'Cash Flow Statement'!G30/Assumptions!G26</f>
        <v>1.424584</v>
      </c>
      <c r="H7" s="33" t="n">
        <f aca="false">'Cash Flow Statement'!H30/Assumptions!H26</f>
        <v>1.5521059602649</v>
      </c>
      <c r="I7" s="33" t="n">
        <f aca="false">'Cash Flow Statement'!I30/Assumptions!I26</f>
        <v>1.63088157894737</v>
      </c>
      <c r="J7" s="33" t="n">
        <f aca="false">'Cash Flow Statement'!J30/Assumptions!J26</f>
        <v>1.76054901960784</v>
      </c>
    </row>
    <row r="8" customFormat="false" ht="15" hidden="false" customHeight="true" outlineLevel="0" collapsed="false">
      <c r="A8" s="16" t="s">
        <v>135</v>
      </c>
      <c r="B8" s="10"/>
      <c r="C8" s="10"/>
      <c r="D8" s="10"/>
      <c r="E8" s="17" t="n">
        <f aca="false">(E6-D6)/ABS(D6)</f>
        <v>0.651327148043566</v>
      </c>
      <c r="F8" s="17" t="n">
        <f aca="false">(F6-E6)/ABS(E6)</f>
        <v>1.87841848148656</v>
      </c>
      <c r="G8" s="17" t="n">
        <f aca="false">(G6-F6)/ABS(F6)</f>
        <v>1.325145</v>
      </c>
      <c r="H8" s="17" t="n">
        <f aca="false">(H6-G6)/ABS(G6)</f>
        <v>0.68056171502172</v>
      </c>
      <c r="I8" s="17" t="n">
        <f aca="false">(I6-H6)/ABS(H6)</f>
        <v>0.385709479665071</v>
      </c>
      <c r="J8" s="17" t="n">
        <f aca="false">(J6-I6)/ABS(I6)</f>
        <v>0.239638104619535</v>
      </c>
    </row>
    <row r="10" customFormat="false" ht="15" hidden="false" customHeight="true" outlineLevel="0" collapsed="false">
      <c r="A10" s="5" t="s">
        <v>136</v>
      </c>
      <c r="B10" s="6"/>
      <c r="C10" s="6"/>
      <c r="D10" s="6"/>
      <c r="E10" s="6"/>
      <c r="F10" s="6"/>
      <c r="G10" s="6"/>
      <c r="H10" s="6"/>
      <c r="I10" s="6"/>
      <c r="J10" s="6"/>
    </row>
    <row r="11" customFormat="false" ht="15" hidden="false" customHeight="true" outlineLevel="0" collapsed="false">
      <c r="A11" s="7" t="s">
        <v>45</v>
      </c>
      <c r="B11" s="13" t="n">
        <f aca="false">'Income Statement'!B8</f>
        <v>2900</v>
      </c>
      <c r="C11" s="13" t="n">
        <f aca="false">'Income Statement'!C8</f>
        <v>2660</v>
      </c>
      <c r="D11" s="13" t="n">
        <f aca="false">'Income Statement'!D8</f>
        <v>2500</v>
      </c>
      <c r="E11" s="13" t="n">
        <f aca="false">'Income Statement'!E8</f>
        <v>2360</v>
      </c>
      <c r="F11" s="13" t="n">
        <f aca="false">'Income Statement'!F8</f>
        <v>2250</v>
      </c>
      <c r="G11" s="13" t="n">
        <f aca="false">'Income Statement'!G8</f>
        <v>2165</v>
      </c>
      <c r="H11" s="13" t="n">
        <f aca="false">'Income Statement'!H8</f>
        <v>2110</v>
      </c>
      <c r="I11" s="13" t="n">
        <f aca="false">'Income Statement'!I8</f>
        <v>2090</v>
      </c>
      <c r="J11" s="13" t="n">
        <f aca="false">'Income Statement'!J8</f>
        <v>2100</v>
      </c>
    </row>
    <row r="12" customFormat="false" ht="15" hidden="false" customHeight="true" outlineLevel="0" collapsed="false">
      <c r="A12" s="7" t="s">
        <v>49</v>
      </c>
      <c r="B12" s="13" t="n">
        <f aca="false">'Income Statement'!B14</f>
        <v>1044</v>
      </c>
      <c r="C12" s="13" t="n">
        <f aca="false">'Income Statement'!C14</f>
        <v>997.5</v>
      </c>
      <c r="D12" s="13" t="n">
        <f aca="false">'Income Statement'!D14</f>
        <v>967.5</v>
      </c>
      <c r="E12" s="13" t="n">
        <f aca="false">'Income Statement'!E14</f>
        <v>944</v>
      </c>
      <c r="F12" s="13" t="n">
        <f aca="false">'Income Statement'!F14</f>
        <v>933.75</v>
      </c>
      <c r="G12" s="13" t="n">
        <f aca="false">'Income Statement'!G14</f>
        <v>926.62</v>
      </c>
      <c r="H12" s="13" t="n">
        <f aca="false">'Income Statement'!H14</f>
        <v>928.4</v>
      </c>
      <c r="I12" s="13" t="n">
        <f aca="false">'Income Statement'!I14</f>
        <v>940.5</v>
      </c>
      <c r="J12" s="13" t="n">
        <f aca="false">'Income Statement'!J14</f>
        <v>961.8</v>
      </c>
    </row>
    <row r="13" customFormat="false" ht="15" hidden="false" customHeight="true" outlineLevel="0" collapsed="false">
      <c r="A13" s="7" t="s">
        <v>137</v>
      </c>
      <c r="B13" s="13" t="n">
        <f aca="false">'Income Statement'!B34</f>
        <v>255.2</v>
      </c>
      <c r="C13" s="13" t="n">
        <f aca="false">'Income Statement'!C34</f>
        <v>263.34</v>
      </c>
      <c r="D13" s="13" t="n">
        <f aca="false">'Income Statement'!D34</f>
        <v>270</v>
      </c>
      <c r="E13" s="13" t="n">
        <f aca="false">'Income Statement'!E34</f>
        <v>278.48</v>
      </c>
      <c r="F13" s="13" t="n">
        <f aca="false">'Income Statement'!F34</f>
        <v>306</v>
      </c>
      <c r="G13" s="13" t="n">
        <f aca="false">'Income Statement'!G34</f>
        <v>320.42</v>
      </c>
      <c r="H13" s="13" t="n">
        <f aca="false">'Income Statement'!H34</f>
        <v>337.6</v>
      </c>
      <c r="I13" s="13" t="n">
        <f aca="false">'Income Statement'!I34</f>
        <v>355.3</v>
      </c>
      <c r="J13" s="13" t="n">
        <f aca="false">'Income Statement'!J34</f>
        <v>373.8</v>
      </c>
    </row>
    <row r="14" customFormat="false" ht="15" hidden="false" customHeight="true" outlineLevel="0" collapsed="false">
      <c r="A14" s="7" t="s">
        <v>138</v>
      </c>
      <c r="B14" s="13" t="n">
        <f aca="false">'Income Statement'!B22</f>
        <v>45.2</v>
      </c>
      <c r="C14" s="13" t="n">
        <f aca="false">'Income Statement'!C22</f>
        <v>63.34</v>
      </c>
      <c r="D14" s="13" t="n">
        <f aca="false">'Income Statement'!D22</f>
        <v>75</v>
      </c>
      <c r="E14" s="13" t="n">
        <f aca="false">'Income Statement'!E22</f>
        <v>93.48</v>
      </c>
      <c r="F14" s="13" t="n">
        <f aca="false">'Income Statement'!F22</f>
        <v>131</v>
      </c>
      <c r="G14" s="13" t="n">
        <f aca="false">'Income Statement'!G22</f>
        <v>155.42</v>
      </c>
      <c r="H14" s="13" t="n">
        <f aca="false">'Income Statement'!H22</f>
        <v>182.6</v>
      </c>
      <c r="I14" s="13" t="n">
        <f aca="false">'Income Statement'!I22</f>
        <v>210.3</v>
      </c>
      <c r="J14" s="13" t="n">
        <f aca="false">'Income Statement'!J22</f>
        <v>233.8</v>
      </c>
    </row>
    <row r="15" customFormat="false" ht="15" hidden="false" customHeight="true" outlineLevel="0" collapsed="false">
      <c r="A15" s="7" t="s">
        <v>139</v>
      </c>
      <c r="B15" s="13" t="n">
        <f aca="false">'Income Statement'!B30</f>
        <v>-97.8</v>
      </c>
      <c r="C15" s="13" t="n">
        <f aca="false">'Income Statement'!C30</f>
        <v>-28.66</v>
      </c>
      <c r="D15" s="13" t="n">
        <f aca="false">'Income Statement'!D30</f>
        <v>-67</v>
      </c>
      <c r="E15" s="13" t="n">
        <f aca="false">'Income Statement'!E30</f>
        <v>-23.52</v>
      </c>
      <c r="F15" s="13" t="n">
        <f aca="false">'Income Statement'!F30</f>
        <v>20.8</v>
      </c>
      <c r="G15" s="13" t="n">
        <f aca="false">'Income Statement'!G30</f>
        <v>48.6876</v>
      </c>
      <c r="H15" s="13" t="n">
        <f aca="false">'Income Statement'!H30</f>
        <v>82.368</v>
      </c>
      <c r="I15" s="13" t="n">
        <f aca="false">'Income Statement'!I30</f>
        <v>114.894</v>
      </c>
      <c r="J15" s="13" t="n">
        <f aca="false">'Income Statement'!J30</f>
        <v>143.364</v>
      </c>
    </row>
    <row r="16" customFormat="false" ht="15" hidden="false" customHeight="true" outlineLevel="0" collapsed="false">
      <c r="A16" s="7" t="s">
        <v>140</v>
      </c>
      <c r="B16" s="13" t="n">
        <f aca="false">'Cash Flow Statement'!B30</f>
        <v>92.2000000000001</v>
      </c>
      <c r="C16" s="13" t="n">
        <f aca="false">'Cash Flow Statement'!C30</f>
        <v>156.34</v>
      </c>
      <c r="D16" s="13" t="n">
        <f aca="false">'Cash Flow Statement'!D30</f>
        <v>33</v>
      </c>
      <c r="E16" s="13" t="n">
        <f aca="false">'Cash Flow Statement'!E30</f>
        <v>196.48</v>
      </c>
      <c r="F16" s="13" t="n">
        <f aca="false">'Cash Flow Statement'!F30</f>
        <v>205.8</v>
      </c>
      <c r="G16" s="13" t="n">
        <f aca="false">'Cash Flow Statement'!G30</f>
        <v>213.6876</v>
      </c>
      <c r="H16" s="13" t="n">
        <f aca="false">'Cash Flow Statement'!H30</f>
        <v>234.368</v>
      </c>
      <c r="I16" s="13" t="n">
        <f aca="false">'Cash Flow Statement'!I30</f>
        <v>247.894</v>
      </c>
      <c r="J16" s="13" t="n">
        <f aca="false">'Cash Flow Statement'!J30</f>
        <v>269.364</v>
      </c>
    </row>
    <row r="18" customFormat="false" ht="15" hidden="false" customHeight="true" outlineLevel="0" collapsed="false">
      <c r="A18" s="5" t="s">
        <v>141</v>
      </c>
      <c r="B18" s="6"/>
      <c r="C18" s="6"/>
      <c r="D18" s="6"/>
      <c r="E18" s="6"/>
      <c r="F18" s="6"/>
      <c r="G18" s="6"/>
      <c r="H18" s="6"/>
      <c r="I18" s="6"/>
      <c r="J18" s="6"/>
    </row>
    <row r="19" customFormat="false" ht="15" hidden="false" customHeight="true" outlineLevel="0" collapsed="false">
      <c r="A19" s="7" t="s">
        <v>20</v>
      </c>
      <c r="B19" s="34" t="n">
        <f aca="false">'Income Statement'!B14/'Income Statement'!B8</f>
        <v>0.36</v>
      </c>
      <c r="C19" s="34" t="n">
        <f aca="false">'Income Statement'!C14/'Income Statement'!C8</f>
        <v>0.375</v>
      </c>
      <c r="D19" s="34" t="n">
        <f aca="false">'Income Statement'!D14/'Income Statement'!D8</f>
        <v>0.387</v>
      </c>
      <c r="E19" s="34" t="n">
        <f aca="false">'Income Statement'!E14/'Income Statement'!E8</f>
        <v>0.4</v>
      </c>
      <c r="F19" s="34" t="n">
        <f aca="false">'Income Statement'!F14/'Income Statement'!F8</f>
        <v>0.415</v>
      </c>
      <c r="G19" s="34" t="n">
        <f aca="false">'Income Statement'!G14/'Income Statement'!G8</f>
        <v>0.428</v>
      </c>
      <c r="H19" s="34" t="n">
        <f aca="false">'Income Statement'!H14/'Income Statement'!H8</f>
        <v>0.44</v>
      </c>
      <c r="I19" s="34" t="n">
        <f aca="false">'Income Statement'!I14/'Income Statement'!I8</f>
        <v>0.45</v>
      </c>
      <c r="J19" s="34" t="n">
        <f aca="false">'Income Statement'!J14/'Income Statement'!J8</f>
        <v>0.458</v>
      </c>
    </row>
    <row r="20" customFormat="false" ht="15" hidden="false" customHeight="true" outlineLevel="0" collapsed="false">
      <c r="A20" s="7" t="s">
        <v>21</v>
      </c>
      <c r="B20" s="34" t="n">
        <f aca="false">'Income Statement'!B34/'Income Statement'!B8</f>
        <v>0.088</v>
      </c>
      <c r="C20" s="34" t="n">
        <f aca="false">'Income Statement'!C34/'Income Statement'!C8</f>
        <v>0.099</v>
      </c>
      <c r="D20" s="34" t="n">
        <f aca="false">'Income Statement'!D34/'Income Statement'!D8</f>
        <v>0.108</v>
      </c>
      <c r="E20" s="34" t="n">
        <f aca="false">'Income Statement'!E34/'Income Statement'!E8</f>
        <v>0.118</v>
      </c>
      <c r="F20" s="34" t="n">
        <f aca="false">'Income Statement'!F34/'Income Statement'!F8</f>
        <v>0.136</v>
      </c>
      <c r="G20" s="34" t="n">
        <f aca="false">'Income Statement'!G34/'Income Statement'!G8</f>
        <v>0.148</v>
      </c>
      <c r="H20" s="34" t="n">
        <f aca="false">'Income Statement'!H34/'Income Statement'!H8</f>
        <v>0.16</v>
      </c>
      <c r="I20" s="34" t="n">
        <f aca="false">'Income Statement'!I34/'Income Statement'!I8</f>
        <v>0.17</v>
      </c>
      <c r="J20" s="34" t="n">
        <f aca="false">'Income Statement'!J34/'Income Statement'!J8</f>
        <v>0.178</v>
      </c>
    </row>
    <row r="21" customFormat="false" ht="15" hidden="false" customHeight="true" outlineLevel="0" collapsed="false">
      <c r="A21" s="7" t="s">
        <v>142</v>
      </c>
      <c r="B21" s="34" t="n">
        <f aca="false">'Income Statement'!B22/'Income Statement'!B8</f>
        <v>0.0155862068965517</v>
      </c>
      <c r="C21" s="34" t="n">
        <f aca="false">'Income Statement'!C22/'Income Statement'!C8</f>
        <v>0.023812030075188</v>
      </c>
      <c r="D21" s="34" t="n">
        <f aca="false">'Income Statement'!D22/'Income Statement'!D8</f>
        <v>0.03</v>
      </c>
      <c r="E21" s="34" t="n">
        <f aca="false">'Income Statement'!E22/'Income Statement'!E8</f>
        <v>0.0396101694915254</v>
      </c>
      <c r="F21" s="34" t="n">
        <f aca="false">'Income Statement'!F22/'Income Statement'!F8</f>
        <v>0.0582222222222222</v>
      </c>
      <c r="G21" s="34" t="n">
        <f aca="false">'Income Statement'!G22/'Income Statement'!G8</f>
        <v>0.0717875288683603</v>
      </c>
      <c r="H21" s="34" t="n">
        <f aca="false">'Income Statement'!H22/'Income Statement'!H8</f>
        <v>0.0865402843601896</v>
      </c>
      <c r="I21" s="34" t="n">
        <f aca="false">'Income Statement'!I22/'Income Statement'!I8</f>
        <v>0.100622009569378</v>
      </c>
      <c r="J21" s="34" t="n">
        <f aca="false">'Income Statement'!J22/'Income Statement'!J8</f>
        <v>0.111333333333333</v>
      </c>
    </row>
    <row r="22" customFormat="false" ht="15" hidden="false" customHeight="true" outlineLevel="0" collapsed="false">
      <c r="A22" s="7" t="s">
        <v>143</v>
      </c>
      <c r="B22" s="34" t="n">
        <f aca="false">'Income Statement'!B30/'Income Statement'!B8</f>
        <v>-0.0337241379310345</v>
      </c>
      <c r="C22" s="34" t="n">
        <f aca="false">'Income Statement'!C30/'Income Statement'!C8</f>
        <v>-0.0107744360902256</v>
      </c>
      <c r="D22" s="34" t="n">
        <f aca="false">'Income Statement'!D30/'Income Statement'!D8</f>
        <v>-0.0268</v>
      </c>
      <c r="E22" s="34" t="n">
        <f aca="false">'Income Statement'!E30/'Income Statement'!E8</f>
        <v>-0.00996610169491525</v>
      </c>
      <c r="F22" s="34" t="n">
        <f aca="false">'Income Statement'!F30/'Income Statement'!F8</f>
        <v>0.00924444444444444</v>
      </c>
      <c r="G22" s="34" t="n">
        <f aca="false">'Income Statement'!G30/'Income Statement'!G8</f>
        <v>0.0224884988452656</v>
      </c>
      <c r="H22" s="34" t="n">
        <f aca="false">'Income Statement'!H30/'Income Statement'!H8</f>
        <v>0.0390369668246446</v>
      </c>
      <c r="I22" s="34" t="n">
        <f aca="false">'Income Statement'!I30/'Income Statement'!I8</f>
        <v>0.0549732057416268</v>
      </c>
      <c r="J22" s="34" t="n">
        <f aca="false">'Income Statement'!J30/'Income Statement'!J8</f>
        <v>0.0682685714285714</v>
      </c>
    </row>
    <row r="23" customFormat="false" ht="15" hidden="false" customHeight="true" outlineLevel="0" collapsed="false">
      <c r="A23" s="7" t="s">
        <v>144</v>
      </c>
      <c r="B23" s="34" t="n">
        <f aca="false">'Cash Flow Statement'!B30/'Income Statement'!B8</f>
        <v>0.0317931034482759</v>
      </c>
      <c r="C23" s="34" t="n">
        <f aca="false">'Cash Flow Statement'!C30/'Income Statement'!C8</f>
        <v>0.0587744360902256</v>
      </c>
      <c r="D23" s="34" t="n">
        <f aca="false">'Cash Flow Statement'!D30/'Income Statement'!D8</f>
        <v>0.0132</v>
      </c>
      <c r="E23" s="34" t="n">
        <f aca="false">'Cash Flow Statement'!E30/'Income Statement'!E8</f>
        <v>0.0832542372881356</v>
      </c>
      <c r="F23" s="34" t="n">
        <f aca="false">'Cash Flow Statement'!F30/'Income Statement'!F8</f>
        <v>0.0914666666666667</v>
      </c>
      <c r="G23" s="34" t="n">
        <f aca="false">'Cash Flow Statement'!G30/'Income Statement'!G8</f>
        <v>0.0987009699769053</v>
      </c>
      <c r="H23" s="34" t="n">
        <f aca="false">'Cash Flow Statement'!H30/'Income Statement'!H8</f>
        <v>0.111074881516588</v>
      </c>
      <c r="I23" s="34" t="n">
        <f aca="false">'Cash Flow Statement'!I30/'Income Statement'!I8</f>
        <v>0.11860956937799</v>
      </c>
      <c r="J23" s="34" t="n">
        <f aca="false">'Cash Flow Statement'!J30/'Income Statement'!J8</f>
        <v>0.128268571428571</v>
      </c>
    </row>
    <row r="25" customFormat="false" ht="15" hidden="false" customHeight="true" outlineLevel="0" collapsed="false">
      <c r="A25" s="5" t="s">
        <v>145</v>
      </c>
      <c r="B25" s="6"/>
      <c r="C25" s="6"/>
      <c r="D25" s="6"/>
      <c r="E25" s="6"/>
      <c r="F25" s="6"/>
      <c r="G25" s="6"/>
      <c r="H25" s="6"/>
      <c r="I25" s="6"/>
      <c r="J25" s="6"/>
    </row>
    <row r="26" customFormat="false" ht="15" hidden="false" customHeight="true" outlineLevel="0" collapsed="false">
      <c r="A26" s="7" t="s">
        <v>27</v>
      </c>
      <c r="B26" s="13" t="n">
        <f aca="false">Assumptions!B22</f>
        <v>1400</v>
      </c>
      <c r="C26" s="13" t="n">
        <f aca="false">Assumptions!C22</f>
        <v>1270</v>
      </c>
      <c r="D26" s="13" t="n">
        <f aca="false">Assumptions!D22</f>
        <v>1150</v>
      </c>
      <c r="E26" s="13" t="n">
        <f aca="false">Assumptions!E22</f>
        <v>1010</v>
      </c>
      <c r="F26" s="13" t="n">
        <f aca="false">Assumptions!F22</f>
        <v>870</v>
      </c>
      <c r="G26" s="13" t="n">
        <f aca="false">Assumptions!G22</f>
        <v>730</v>
      </c>
      <c r="H26" s="13" t="n">
        <f aca="false">Assumptions!H22</f>
        <v>590</v>
      </c>
      <c r="I26" s="13" t="n">
        <f aca="false">Assumptions!I22</f>
        <v>460</v>
      </c>
      <c r="J26" s="13" t="n">
        <f aca="false">Assumptions!J22</f>
        <v>340</v>
      </c>
    </row>
    <row r="27" customFormat="false" ht="15" hidden="false" customHeight="true" outlineLevel="0" collapsed="false">
      <c r="A27" s="29" t="s">
        <v>146</v>
      </c>
      <c r="B27" s="35" t="n">
        <f aca="false">'Balance Sheet'!B42</f>
        <v>1332</v>
      </c>
      <c r="C27" s="35" t="n">
        <f aca="false">'Balance Sheet'!C42</f>
        <v>1197</v>
      </c>
      <c r="D27" s="35" t="n">
        <f aca="false">'Balance Sheet'!D42</f>
        <v>1044</v>
      </c>
      <c r="E27" s="35" t="n">
        <f aca="false">'Balance Sheet'!E42</f>
        <v>925</v>
      </c>
      <c r="F27" s="35" t="n">
        <f aca="false">'Balance Sheet'!F42</f>
        <v>795</v>
      </c>
      <c r="G27" s="35" t="n">
        <f aca="false">'Balance Sheet'!G42</f>
        <v>650</v>
      </c>
      <c r="H27" s="35" t="n">
        <f aca="false">'Balance Sheet'!H42</f>
        <v>500</v>
      </c>
      <c r="I27" s="35" t="n">
        <f aca="false">'Balance Sheet'!I42</f>
        <v>355</v>
      </c>
      <c r="J27" s="35" t="n">
        <f aca="false">'Balance Sheet'!J42</f>
        <v>220</v>
      </c>
    </row>
    <row r="28" customFormat="false" ht="15" hidden="false" customHeight="true" outlineLevel="0" collapsed="false">
      <c r="A28" s="29" t="s">
        <v>105</v>
      </c>
      <c r="B28" s="36" t="n">
        <f aca="false">'Balance Sheet'!B42/'Income Statement'!B34</f>
        <v>5.21943573667712</v>
      </c>
      <c r="C28" s="36" t="n">
        <f aca="false">'Balance Sheet'!C42/'Income Statement'!C34</f>
        <v>4.54545454545455</v>
      </c>
      <c r="D28" s="36" t="n">
        <f aca="false">'Balance Sheet'!D42/'Income Statement'!D34</f>
        <v>3.86666666666667</v>
      </c>
      <c r="E28" s="36" t="n">
        <f aca="false">'Balance Sheet'!E42/'Income Statement'!E34</f>
        <v>3.32160298764723</v>
      </c>
      <c r="F28" s="36" t="n">
        <f aca="false">'Balance Sheet'!F42/'Income Statement'!F34</f>
        <v>2.59803921568627</v>
      </c>
      <c r="G28" s="36" t="n">
        <f aca="false">'Balance Sheet'!G42/'Income Statement'!G34</f>
        <v>2.0285874789339</v>
      </c>
      <c r="H28" s="36" t="n">
        <f aca="false">'Balance Sheet'!H42/'Income Statement'!H34</f>
        <v>1.48104265402844</v>
      </c>
      <c r="I28" s="36" t="n">
        <f aca="false">'Balance Sheet'!I42/'Income Statement'!I34</f>
        <v>0.999155643118491</v>
      </c>
      <c r="J28" s="36" t="n">
        <f aca="false">'Balance Sheet'!J42/'Income Statement'!J34</f>
        <v>0.588550026752274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F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4"/>
    <col collapsed="false" customWidth="true" hidden="false" outlineLevel="0" max="6" min="2" style="1" width="14"/>
  </cols>
  <sheetData>
    <row r="1" customFormat="false" ht="18" hidden="false" customHeight="true" outlineLevel="0" collapsed="false">
      <c r="A1" s="2" t="s">
        <v>147</v>
      </c>
    </row>
    <row r="2" customFormat="false" ht="15" hidden="false" customHeight="true" outlineLevel="0" collapsed="false">
      <c r="A2" s="3" t="s">
        <v>148</v>
      </c>
    </row>
    <row r="4" customFormat="false" ht="25.5" hidden="false" customHeight="true" outlineLevel="0" collapsed="false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</row>
    <row r="5" customFormat="false" ht="15" hidden="false" customHeight="true" outlineLevel="0" collapsed="false">
      <c r="A5" s="5" t="s">
        <v>149</v>
      </c>
      <c r="B5" s="6"/>
      <c r="C5" s="6"/>
      <c r="D5" s="6"/>
      <c r="E5" s="6"/>
      <c r="F5" s="6"/>
    </row>
    <row r="6" customFormat="false" ht="15" hidden="false" customHeight="true" outlineLevel="0" collapsed="false">
      <c r="A6" s="7" t="s">
        <v>150</v>
      </c>
      <c r="B6" s="13" t="n">
        <f aca="false">'Cash Flow Statement'!F30</f>
        <v>205.8</v>
      </c>
      <c r="C6" s="13" t="n">
        <f aca="false">'Cash Flow Statement'!G30</f>
        <v>213.6876</v>
      </c>
      <c r="D6" s="13" t="n">
        <f aca="false">'Cash Flow Statement'!H30</f>
        <v>234.368</v>
      </c>
      <c r="E6" s="13" t="n">
        <f aca="false">'Cash Flow Statement'!I30</f>
        <v>247.894</v>
      </c>
      <c r="F6" s="13" t="n">
        <f aca="false">'Cash Flow Statement'!J30</f>
        <v>269.364</v>
      </c>
    </row>
    <row r="7" customFormat="false" ht="15" hidden="false" customHeight="true" outlineLevel="0" collapsed="false">
      <c r="A7" s="7" t="s">
        <v>33</v>
      </c>
      <c r="B7" s="34" t="n">
        <f aca="false">Assumptions!F29</f>
        <v>0.1</v>
      </c>
      <c r="C7" s="34" t="n">
        <f aca="false">Assumptions!G29</f>
        <v>0.1</v>
      </c>
      <c r="D7" s="34" t="n">
        <f aca="false">Assumptions!H29</f>
        <v>0.1</v>
      </c>
      <c r="E7" s="34" t="n">
        <f aca="false">Assumptions!I29</f>
        <v>0.1</v>
      </c>
      <c r="F7" s="34" t="n">
        <f aca="false">Assumptions!J29</f>
        <v>0.1</v>
      </c>
    </row>
    <row r="8" customFormat="false" ht="15" hidden="false" customHeight="true" outlineLevel="0" collapsed="false">
      <c r="A8" s="7" t="s">
        <v>151</v>
      </c>
      <c r="B8" s="37" t="n">
        <v>1</v>
      </c>
      <c r="C8" s="37" t="n">
        <v>2</v>
      </c>
      <c r="D8" s="37" t="n">
        <v>3</v>
      </c>
      <c r="E8" s="37" t="n">
        <v>4</v>
      </c>
      <c r="F8" s="37" t="n">
        <v>5</v>
      </c>
    </row>
    <row r="9" customFormat="false" ht="15" hidden="false" customHeight="true" outlineLevel="0" collapsed="false">
      <c r="A9" s="7" t="s">
        <v>152</v>
      </c>
      <c r="B9" s="38" t="n">
        <f aca="false">1/(1+B7)^B8</f>
        <v>0.909090909090909</v>
      </c>
      <c r="C9" s="38" t="n">
        <f aca="false">1/(1+C7)^C8</f>
        <v>0.826446280991735</v>
      </c>
      <c r="D9" s="38" t="n">
        <f aca="false">1/(1+D7)^D8</f>
        <v>0.751314800901578</v>
      </c>
      <c r="E9" s="38" t="n">
        <f aca="false">1/(1+E7)^E8</f>
        <v>0.683013455365071</v>
      </c>
      <c r="F9" s="38" t="n">
        <f aca="false">1/(1+F7)^F8</f>
        <v>0.620921323059155</v>
      </c>
    </row>
    <row r="10" customFormat="false" ht="15" hidden="false" customHeight="true" outlineLevel="0" collapsed="false">
      <c r="A10" s="7" t="s">
        <v>153</v>
      </c>
      <c r="B10" s="18" t="n">
        <f aca="false">B6*B9</f>
        <v>187.090909090909</v>
      </c>
      <c r="C10" s="18" t="n">
        <f aca="false">C6*C9</f>
        <v>176.60132231405</v>
      </c>
      <c r="D10" s="18" t="n">
        <f aca="false">D6*D9</f>
        <v>176.084147257701</v>
      </c>
      <c r="E10" s="18" t="n">
        <f aca="false">E6*E9</f>
        <v>169.314937504269</v>
      </c>
      <c r="F10" s="18" t="n">
        <f aca="false">F6*F9</f>
        <v>167.253851264506</v>
      </c>
    </row>
    <row r="11" customFormat="false" ht="15" hidden="false" customHeight="true" outlineLevel="0" collapsed="false">
      <c r="A11" s="14" t="s">
        <v>154</v>
      </c>
      <c r="B11" s="15" t="n">
        <f aca="false">SUM(B10:F10)</f>
        <v>876.345167431435</v>
      </c>
    </row>
    <row r="13" customFormat="false" ht="15" hidden="false" customHeight="true" outlineLevel="0" collapsed="false">
      <c r="A13" s="5" t="s">
        <v>155</v>
      </c>
      <c r="B13" s="6"/>
      <c r="C13" s="6"/>
      <c r="D13" s="6"/>
      <c r="E13" s="6"/>
      <c r="F13" s="6"/>
    </row>
    <row r="14" customFormat="false" ht="15" hidden="false" customHeight="true" outlineLevel="0" collapsed="false">
      <c r="A14" s="7" t="s">
        <v>156</v>
      </c>
      <c r="B14" s="13" t="n">
        <f aca="false">'Cash Flow Statement'!J30</f>
        <v>269.364</v>
      </c>
      <c r="C14" s="10"/>
      <c r="D14" s="10"/>
      <c r="E14" s="10"/>
      <c r="F14" s="10"/>
    </row>
    <row r="15" customFormat="false" ht="15" hidden="false" customHeight="true" outlineLevel="0" collapsed="false">
      <c r="A15" s="7" t="s">
        <v>33</v>
      </c>
      <c r="B15" s="34" t="n">
        <f aca="false">Assumptions!F29</f>
        <v>0.1</v>
      </c>
      <c r="C15" s="10"/>
      <c r="D15" s="10"/>
      <c r="E15" s="10"/>
      <c r="F15" s="10"/>
    </row>
    <row r="16" customFormat="false" ht="15" hidden="false" customHeight="true" outlineLevel="0" collapsed="false">
      <c r="A16" s="7" t="s">
        <v>34</v>
      </c>
      <c r="B16" s="34" t="n">
        <f aca="false">Assumptions!F30</f>
        <v>0.005</v>
      </c>
      <c r="C16" s="10"/>
      <c r="D16" s="10"/>
      <c r="E16" s="10"/>
      <c r="F16" s="10"/>
    </row>
    <row r="17" customFormat="false" ht="15" hidden="false" customHeight="true" outlineLevel="0" collapsed="false">
      <c r="A17" s="26" t="s">
        <v>157</v>
      </c>
      <c r="B17" s="28" t="n">
        <f aca="false">B14*(1+B16)/(B15-B16)</f>
        <v>2849.58757894737</v>
      </c>
    </row>
    <row r="18" customFormat="false" ht="15" hidden="false" customHeight="true" outlineLevel="0" collapsed="false">
      <c r="A18" s="14" t="s">
        <v>158</v>
      </c>
      <c r="B18" s="15" t="n">
        <f aca="false">B17/(1+B15)^5</f>
        <v>1769.36968969293</v>
      </c>
    </row>
    <row r="20" customFormat="false" ht="15" hidden="false" customHeight="true" outlineLevel="0" collapsed="false">
      <c r="A20" s="5" t="s">
        <v>159</v>
      </c>
      <c r="B20" s="6"/>
      <c r="C20" s="6"/>
      <c r="D20" s="6"/>
      <c r="E20" s="6"/>
      <c r="F20" s="6"/>
    </row>
    <row r="21" customFormat="false" ht="15" hidden="false" customHeight="true" outlineLevel="0" collapsed="false">
      <c r="A21" s="7" t="s">
        <v>154</v>
      </c>
      <c r="B21" s="18" t="n">
        <f aca="false">B11</f>
        <v>876.345167431435</v>
      </c>
    </row>
    <row r="22" customFormat="false" ht="15" hidden="false" customHeight="true" outlineLevel="0" collapsed="false">
      <c r="A22" s="7" t="s">
        <v>158</v>
      </c>
      <c r="B22" s="18" t="n">
        <f aca="false">B18</f>
        <v>1769.36968969293</v>
      </c>
    </row>
    <row r="23" customFormat="false" ht="15" hidden="false" customHeight="true" outlineLevel="0" collapsed="false">
      <c r="A23" s="14" t="s">
        <v>160</v>
      </c>
      <c r="B23" s="15" t="n">
        <f aca="false">B21+B22</f>
        <v>2645.71485712437</v>
      </c>
    </row>
    <row r="24" customFormat="false" ht="15" hidden="false" customHeight="true" outlineLevel="0" collapsed="false">
      <c r="A24" s="7" t="s">
        <v>161</v>
      </c>
      <c r="B24" s="13" t="n">
        <f aca="false">-'Balance Sheet'!E42</f>
        <v>-925</v>
      </c>
    </row>
    <row r="25" customFormat="false" ht="15" hidden="false" customHeight="true" outlineLevel="0" collapsed="false">
      <c r="A25" s="14" t="s">
        <v>162</v>
      </c>
      <c r="B25" s="15" t="n">
        <f aca="false">B23+B24</f>
        <v>1720.71485712437</v>
      </c>
    </row>
    <row r="26" customFormat="false" ht="15" hidden="false" customHeight="true" outlineLevel="0" collapsed="false">
      <c r="A26" s="7" t="s">
        <v>163</v>
      </c>
      <c r="B26" s="22" t="n">
        <f aca="false">Assumptions!F26</f>
        <v>149</v>
      </c>
    </row>
    <row r="27" customFormat="false" ht="15" hidden="false" customHeight="true" outlineLevel="0" collapsed="false">
      <c r="A27" s="39" t="s">
        <v>164</v>
      </c>
      <c r="B27" s="40" t="n">
        <f aca="false">B25/B26</f>
        <v>11.5484218598951</v>
      </c>
      <c r="C27" s="39"/>
      <c r="D27" s="39"/>
      <c r="E27" s="39"/>
      <c r="F27" s="39"/>
    </row>
    <row r="29" customFormat="false" ht="15" hidden="false" customHeight="true" outlineLevel="0" collapsed="false">
      <c r="A29" s="5" t="s">
        <v>165</v>
      </c>
      <c r="B29" s="6"/>
      <c r="C29" s="6"/>
      <c r="D29" s="6"/>
      <c r="E29" s="6"/>
      <c r="F29" s="6"/>
    </row>
    <row r="30" customFormat="false" ht="15" hidden="false" customHeight="true" outlineLevel="0" collapsed="false">
      <c r="A30" s="7" t="s">
        <v>166</v>
      </c>
      <c r="B30" s="13" t="n">
        <f aca="false">'Income Statement'!F34</f>
        <v>306</v>
      </c>
      <c r="C30" s="13" t="n">
        <f aca="false">'Income Statement'!G34</f>
        <v>320.42</v>
      </c>
      <c r="D30" s="13" t="n">
        <f aca="false">'Income Statement'!H34</f>
        <v>337.6</v>
      </c>
      <c r="E30" s="13" t="n">
        <f aca="false">'Income Statement'!I34</f>
        <v>355.3</v>
      </c>
      <c r="F30" s="13" t="n">
        <f aca="false">'Income Statement'!J34</f>
        <v>373.8</v>
      </c>
    </row>
    <row r="31" customFormat="false" ht="15" hidden="false" customHeight="true" outlineLevel="0" collapsed="false">
      <c r="A31" s="7" t="s">
        <v>167</v>
      </c>
      <c r="B31" s="41" t="n">
        <f aca="false">Assumptions!F31</f>
        <v>7</v>
      </c>
      <c r="C31" s="41" t="n">
        <f aca="false">Assumptions!G31</f>
        <v>8</v>
      </c>
      <c r="D31" s="41" t="n">
        <f aca="false">Assumptions!H31</f>
        <v>10</v>
      </c>
      <c r="E31" s="41" t="n">
        <f aca="false">Assumptions!I31</f>
        <v>11</v>
      </c>
      <c r="F31" s="41" t="n">
        <f aca="false">Assumptions!J31</f>
        <v>12</v>
      </c>
    </row>
    <row r="32" customFormat="false" ht="15" hidden="false" customHeight="true" outlineLevel="0" collapsed="false">
      <c r="A32" s="7" t="s">
        <v>168</v>
      </c>
      <c r="B32" s="18" t="n">
        <f aca="false">B30*B31</f>
        <v>2142</v>
      </c>
      <c r="C32" s="18" t="n">
        <f aca="false">C30*C31</f>
        <v>2563.36</v>
      </c>
      <c r="D32" s="18" t="n">
        <f aca="false">D30*D31</f>
        <v>3376</v>
      </c>
      <c r="E32" s="18" t="n">
        <f aca="false">E30*E31</f>
        <v>3908.3</v>
      </c>
      <c r="F32" s="18" t="n">
        <f aca="false">F30*F31</f>
        <v>4485.6</v>
      </c>
    </row>
    <row r="33" customFormat="false" ht="15" hidden="false" customHeight="true" outlineLevel="0" collapsed="false">
      <c r="A33" s="7" t="s">
        <v>169</v>
      </c>
      <c r="B33" s="13" t="n">
        <f aca="false">-'Balance Sheet'!F42</f>
        <v>-795</v>
      </c>
      <c r="C33" s="13" t="n">
        <f aca="false">-'Balance Sheet'!G42</f>
        <v>-650</v>
      </c>
      <c r="D33" s="13" t="n">
        <f aca="false">-'Balance Sheet'!H42</f>
        <v>-500</v>
      </c>
      <c r="E33" s="13" t="n">
        <f aca="false">-'Balance Sheet'!I42</f>
        <v>-355</v>
      </c>
      <c r="F33" s="13" t="n">
        <f aca="false">-'Balance Sheet'!J42</f>
        <v>-220</v>
      </c>
    </row>
    <row r="34" customFormat="false" ht="15" hidden="false" customHeight="true" outlineLevel="0" collapsed="false">
      <c r="A34" s="7" t="s">
        <v>163</v>
      </c>
      <c r="B34" s="22" t="n">
        <f aca="false">Assumptions!F26</f>
        <v>149</v>
      </c>
      <c r="C34" s="22" t="n">
        <f aca="false">Assumptions!G26</f>
        <v>150</v>
      </c>
      <c r="D34" s="22" t="n">
        <f aca="false">Assumptions!H26</f>
        <v>151</v>
      </c>
      <c r="E34" s="22" t="n">
        <f aca="false">Assumptions!I26</f>
        <v>152</v>
      </c>
      <c r="F34" s="22" t="n">
        <f aca="false">Assumptions!J26</f>
        <v>153</v>
      </c>
    </row>
    <row r="35" customFormat="false" ht="15" hidden="false" customHeight="true" outlineLevel="0" collapsed="false">
      <c r="A35" s="39" t="s">
        <v>170</v>
      </c>
      <c r="B35" s="40" t="n">
        <f aca="false">(B32+B33)/B34</f>
        <v>9.04026845637584</v>
      </c>
      <c r="C35" s="40" t="n">
        <f aca="false">(C32+C33)/C34</f>
        <v>12.7557333333333</v>
      </c>
      <c r="D35" s="40" t="n">
        <f aca="false">(D32+D33)/D34</f>
        <v>19.046357615894</v>
      </c>
      <c r="E35" s="40" t="n">
        <f aca="false">(E32+E33)/E34</f>
        <v>23.3769736842105</v>
      </c>
      <c r="F35" s="40" t="n">
        <f aca="false">(F32+F33)/F34</f>
        <v>27.8797385620915</v>
      </c>
    </row>
    <row r="37" customFormat="false" ht="15" hidden="false" customHeight="true" outlineLevel="0" collapsed="false">
      <c r="A37" s="5" t="s">
        <v>171</v>
      </c>
      <c r="B37" s="6"/>
      <c r="C37" s="6"/>
      <c r="D37" s="6"/>
      <c r="E37" s="6"/>
      <c r="F37" s="6"/>
    </row>
    <row r="38" customFormat="false" ht="15" hidden="false" customHeight="true" outlineLevel="0" collapsed="false">
      <c r="A38" s="7" t="s">
        <v>172</v>
      </c>
      <c r="B38" s="42" t="n">
        <f aca="false">'Income Statement'!F40</f>
        <v>0.139597315436242</v>
      </c>
      <c r="C38" s="42" t="n">
        <f aca="false">'Income Statement'!G40</f>
        <v>0.324584</v>
      </c>
      <c r="D38" s="42" t="n">
        <f aca="false">'Income Statement'!H40</f>
        <v>0.54548344370861</v>
      </c>
      <c r="E38" s="42" t="n">
        <f aca="false">'Income Statement'!I40</f>
        <v>0.755881578947368</v>
      </c>
      <c r="F38" s="42" t="n">
        <f aca="false">'Income Statement'!J40</f>
        <v>0.937019607843137</v>
      </c>
    </row>
    <row r="39" customFormat="false" ht="15" hidden="false" customHeight="true" outlineLevel="0" collapsed="false">
      <c r="A39" s="7" t="s">
        <v>173</v>
      </c>
      <c r="B39" s="41" t="n">
        <f aca="false">Assumptions!F32</f>
        <v>12</v>
      </c>
      <c r="C39" s="41" t="n">
        <f aca="false">Assumptions!G32</f>
        <v>12</v>
      </c>
      <c r="D39" s="41" t="n">
        <f aca="false">Assumptions!H32</f>
        <v>12</v>
      </c>
      <c r="E39" s="41" t="n">
        <f aca="false">Assumptions!I32</f>
        <v>12</v>
      </c>
      <c r="F39" s="41" t="n">
        <f aca="false">Assumptions!J32</f>
        <v>12</v>
      </c>
    </row>
    <row r="40" customFormat="false" ht="15" hidden="false" customHeight="true" outlineLevel="0" collapsed="false">
      <c r="A40" s="39" t="s">
        <v>174</v>
      </c>
      <c r="B40" s="40" t="n">
        <f aca="false">IF(B38&gt;0,B38*B39,"N/A (loss)")</f>
        <v>1.6751677852349</v>
      </c>
      <c r="C40" s="40" t="n">
        <f aca="false">IF(C38&gt;0,C38*C39,"N/A (loss)")</f>
        <v>3.895008</v>
      </c>
      <c r="D40" s="40" t="n">
        <f aca="false">IF(D38&gt;0,D38*D39,"N/A (loss)")</f>
        <v>6.54580132450331</v>
      </c>
      <c r="E40" s="40" t="n">
        <f aca="false">IF(E38&gt;0,E38*E39,"N/A (loss)")</f>
        <v>9.07057894736842</v>
      </c>
      <c r="F40" s="40" t="n">
        <f aca="false">IF(F38&gt;0,F38*F39,"N/A (loss)")</f>
        <v>11.2442352941176</v>
      </c>
    </row>
    <row r="42" customFormat="false" ht="15" hidden="false" customHeight="true" outlineLevel="0" collapsed="false">
      <c r="A42" s="5" t="s">
        <v>175</v>
      </c>
      <c r="B42" s="6"/>
      <c r="C42" s="6"/>
      <c r="D42" s="6"/>
      <c r="E42" s="6"/>
      <c r="F42" s="6"/>
    </row>
    <row r="43" customFormat="false" ht="25.5" hidden="false" customHeight="true" outlineLevel="0" collapsed="false">
      <c r="A43" s="4" t="s">
        <v>176</v>
      </c>
      <c r="B43" s="4" t="s">
        <v>7</v>
      </c>
      <c r="C43" s="4" t="s">
        <v>8</v>
      </c>
      <c r="D43" s="4" t="s">
        <v>9</v>
      </c>
      <c r="E43" s="4" t="s">
        <v>10</v>
      </c>
      <c r="F43" s="4" t="s">
        <v>11</v>
      </c>
    </row>
    <row r="44" customFormat="false" ht="15" hidden="false" customHeight="true" outlineLevel="0" collapsed="false">
      <c r="A44" s="20" t="s">
        <v>177</v>
      </c>
      <c r="B44" s="43" t="n">
        <f aca="false">B27</f>
        <v>11.5484218598951</v>
      </c>
      <c r="C44" s="43"/>
      <c r="D44" s="43"/>
      <c r="E44" s="43"/>
      <c r="F44" s="43"/>
    </row>
    <row r="45" customFormat="false" ht="15" hidden="false" customHeight="true" outlineLevel="0" collapsed="false">
      <c r="A45" s="20" t="s">
        <v>178</v>
      </c>
      <c r="B45" s="43" t="n">
        <f aca="false">B35</f>
        <v>9.04026845637584</v>
      </c>
      <c r="C45" s="43" t="n">
        <f aca="false">C35</f>
        <v>12.7557333333333</v>
      </c>
      <c r="D45" s="43" t="n">
        <f aca="false">D35</f>
        <v>19.046357615894</v>
      </c>
      <c r="E45" s="43" t="n">
        <f aca="false">E35</f>
        <v>23.3769736842105</v>
      </c>
      <c r="F45" s="43" t="n">
        <f aca="false">F35</f>
        <v>27.8797385620915</v>
      </c>
    </row>
    <row r="46" customFormat="false" ht="15" hidden="false" customHeight="true" outlineLevel="0" collapsed="false">
      <c r="A46" s="20" t="s">
        <v>179</v>
      </c>
      <c r="B46" s="43" t="n">
        <f aca="false">B40</f>
        <v>1.6751677852349</v>
      </c>
      <c r="C46" s="43" t="n">
        <f aca="false">C40</f>
        <v>3.895008</v>
      </c>
      <c r="D46" s="43" t="n">
        <f aca="false">D40</f>
        <v>6.54580132450331</v>
      </c>
      <c r="E46" s="43" t="n">
        <f aca="false">E40</f>
        <v>9.07057894736842</v>
      </c>
      <c r="F46" s="43" t="n">
        <f aca="false">F40</f>
        <v>11.2442352941176</v>
      </c>
    </row>
    <row r="47" customFormat="false" ht="15" hidden="false" customHeight="true" outlineLevel="0" collapsed="false">
      <c r="A47" s="20" t="s">
        <v>180</v>
      </c>
      <c r="B47" s="43" t="n">
        <f aca="false">IFERROR(AVERAGE(B35,B40),B35)</f>
        <v>5.35771812080537</v>
      </c>
      <c r="C47" s="43" t="n">
        <f aca="false">IFERROR(AVERAGE(C35,C40),C35)</f>
        <v>8.32537066666666</v>
      </c>
      <c r="D47" s="43" t="n">
        <f aca="false">IFERROR(AVERAGE(D35,D40),D35)</f>
        <v>12.7960794701987</v>
      </c>
      <c r="E47" s="43" t="n">
        <f aca="false">IFERROR(AVERAGE(E35,E40),E35)</f>
        <v>16.2237763157895</v>
      </c>
      <c r="F47" s="43" t="n">
        <f aca="false">IFERROR(AVERAGE(F35,F40),F35)</f>
        <v>19.5619869281046</v>
      </c>
    </row>
    <row r="49" customFormat="false" ht="15" hidden="false" customHeight="true" outlineLevel="0" collapsed="false">
      <c r="A49" s="5" t="s">
        <v>181</v>
      </c>
      <c r="B49" s="6"/>
      <c r="C49" s="6"/>
      <c r="D49" s="6"/>
      <c r="E49" s="6"/>
      <c r="F49" s="6"/>
    </row>
    <row r="50" customFormat="false" ht="15" hidden="false" customHeight="true" outlineLevel="0" collapsed="false">
      <c r="A50" s="44" t="s">
        <v>182</v>
      </c>
      <c r="B50" s="45" t="n">
        <v>0.085</v>
      </c>
      <c r="C50" s="45" t="n">
        <v>0.095</v>
      </c>
      <c r="D50" s="45" t="n">
        <v>0.1</v>
      </c>
      <c r="E50" s="45" t="n">
        <v>0.11</v>
      </c>
      <c r="F50" s="45" t="n">
        <v>0.12</v>
      </c>
    </row>
    <row r="51" customFormat="false" ht="15" hidden="false" customHeight="true" outlineLevel="0" collapsed="false">
      <c r="A51" s="46" t="n">
        <v>0.005</v>
      </c>
      <c r="B51" s="47" t="n">
        <f aca="false">((B11+(('Cash Flow Statement'!J30*(1+0.005))/(0.085-0.005))/(1+0.085)^5)-'Balance Sheet'!E42)/Assumptions!F26</f>
        <v>14.777064200518</v>
      </c>
      <c r="C51" s="47" t="n">
        <f aca="false">((B11+(('Cash Flow Statement'!J30*(1+0.005))/(0.095-0.005))/(1+0.095)^5)-'Balance Sheet'!E42)/Assumptions!F26</f>
        <v>12.496947593137</v>
      </c>
      <c r="D51" s="47" t="n">
        <f aca="false">((B11+(('Cash Flow Statement'!J30*(1+0.005))/(0.1-0.005))/(1+0.1)^5)-'Balance Sheet'!E42)/Assumptions!F26</f>
        <v>11.5484218598951</v>
      </c>
      <c r="E51" s="47" t="n">
        <f aca="false">((B11+(('Cash Flow Statement'!J30*(1+0.005))/(0.11-0.005))/(1+0.11)^5)-'Balance Sheet'!E42)/Assumptions!F26</f>
        <v>9.9421500945428</v>
      </c>
      <c r="F51" s="47" t="n">
        <f aca="false">((B11+(('Cash Flow Statement'!J30*(1+0.005))/(0.12-0.005))/(1+0.12)^5)-'Balance Sheet'!E42)/Assumptions!F26</f>
        <v>8.63806732747118</v>
      </c>
    </row>
    <row r="52" customFormat="false" ht="15" hidden="false" customHeight="true" outlineLevel="0" collapsed="false">
      <c r="A52" s="46" t="n">
        <v>0.01</v>
      </c>
      <c r="B52" s="47" t="n">
        <f aca="false">((B11+(('Cash Flow Statement'!J30*(1+0.01))/(0.085-0.01))/(1+0.085)^5)-'Balance Sheet'!E42)/Assumptions!F26</f>
        <v>15.8641231239383</v>
      </c>
      <c r="C52" s="47" t="n">
        <f aca="false">((B11+(('Cash Flow Statement'!J30*(1+0.01))/(0.095-0.01))/(1+0.095)^5)-'Balance Sheet'!E42)/Assumptions!F26</f>
        <v>13.3188218484773</v>
      </c>
      <c r="D52" s="47" t="n">
        <f aca="false">((B11+(('Cash Flow Statement'!J30*(1+0.01))/(0.1-0.01))/(1+0.1)^5)-'Balance Sheet'!E42)/Assumptions!F26</f>
        <v>12.2705037170753</v>
      </c>
      <c r="E52" s="47" t="n">
        <f aca="false">((B11+(('Cash Flow Statement'!J30*(1+0.01))/(0.11-0.01))/(1+0.11)^5)-'Balance Sheet'!E42)/Assumptions!F26</f>
        <v>10.5092271482967</v>
      </c>
      <c r="F52" s="47" t="n">
        <f aca="false">((B11+(('Cash Flow Statement'!J30*(1+0.01))/(0.12-0.01))/(1+0.12)^5)-'Balance Sheet'!E42)/Assumptions!F26</f>
        <v>9.09217691622211</v>
      </c>
    </row>
    <row r="53" customFormat="false" ht="15" hidden="false" customHeight="true" outlineLevel="0" collapsed="false">
      <c r="A53" s="46" t="n">
        <v>0.015</v>
      </c>
      <c r="B53" s="47" t="n">
        <f aca="false">((B11+(('Cash Flow Statement'!J30*(1+0.015))/(0.085-0.015))/(1+0.085)^5)-'Balance Sheet'!E42)/Assumptions!F26</f>
        <v>17.1064761792758</v>
      </c>
      <c r="C53" s="47" t="n">
        <f aca="false">((B11+(('Cash Flow Statement'!J30*(1+0.015))/(0.095-0.015))/(1+0.095)^5)-'Balance Sheet'!E42)/Assumptions!F26</f>
        <v>14.2434303857351</v>
      </c>
      <c r="D53" s="47" t="n">
        <f aca="false">((B11+(('Cash Flow Statement'!J30*(1+0.015))/(0.1-0.015))/(1+0.1)^5)-'Balance Sheet'!E42)/Assumptions!F26</f>
        <v>13.0775363809827</v>
      </c>
      <c r="E53" s="47" t="n">
        <f aca="false">((B11+(('Cash Flow Statement'!J30*(1+0.015))/(0.11-0.015))/(1+0.11)^5)-'Balance Sheet'!E42)/Assumptions!F26</f>
        <v>11.1359965234984</v>
      </c>
      <c r="F53" s="47" t="n">
        <f aca="false">((B11+(('Cash Flow Statement'!J30*(1+0.015))/(0.12-0.015))/(1+0.12)^5)-'Balance Sheet'!E42)/Assumptions!F26</f>
        <v>9.58953503723504</v>
      </c>
    </row>
    <row r="54" customFormat="false" ht="15" hidden="false" customHeight="true" outlineLevel="0" collapsed="false">
      <c r="A54" s="46" t="n">
        <v>0.02</v>
      </c>
      <c r="B54" s="47" t="n">
        <f aca="false">((B11+(('Cash Flow Statement'!J30*(1+0.02))/(0.085-0.02))/(1+0.085)^5)-'Balance Sheet'!E42)/Assumptions!F26</f>
        <v>18.539960473896</v>
      </c>
      <c r="C54" s="47" t="n">
        <f aca="false">((B11+(('Cash Flow Statement'!J30*(1+0.02))/(0.095-0.02))/(1+0.095)^5)-'Balance Sheet'!E42)/Assumptions!F26</f>
        <v>15.291320061294</v>
      </c>
      <c r="D54" s="47" t="n">
        <f aca="false">((B11+(('Cash Flow Statement'!J30*(1+0.02))/(0.1-0.02))/(1+0.1)^5)-'Balance Sheet'!E42)/Assumptions!F26</f>
        <v>13.9854481278785</v>
      </c>
      <c r="E54" s="47" t="n">
        <f aca="false">((B11+(('Cash Flow Statement'!J30*(1+0.02))/(0.11-0.02))/(1+0.11)^5)-'Balance Sheet'!E42)/Assumptions!F26</f>
        <v>11.8324069403891</v>
      </c>
      <c r="F54" s="47" t="n">
        <f aca="false">((B11+(('Cash Flow Statement'!J30*(1+0.02))/(0.12-0.02))/(1+0.12)^5)-'Balance Sheet'!E42)/Assumptions!F26</f>
        <v>10.1366289703493</v>
      </c>
    </row>
    <row r="55" customFormat="false" ht="15" hidden="false" customHeight="true" outlineLevel="0" collapsed="false">
      <c r="A55" s="46" t="n">
        <v>0.025</v>
      </c>
      <c r="B55" s="47" t="n">
        <f aca="false">((B11+(('Cash Flow Statement'!J30*(1+0.025))/(0.085-0.025))/(1+0.085)^5)-'Balance Sheet'!E42)/Assumptions!F26</f>
        <v>20.2123588176196</v>
      </c>
      <c r="C55" s="47" t="n">
        <f aca="false">((B11+(('Cash Flow Statement'!J30*(1+0.025))/(0.095-0.025))/(1+0.095)^5)-'Balance Sheet'!E42)/Assumptions!F26</f>
        <v>16.4889082619327</v>
      </c>
      <c r="D55" s="47" t="n">
        <f aca="false">((B11+(('Cash Flow Statement'!J30*(1+0.025))/(0.1-0.025))/(1+0.1)^5)-'Balance Sheet'!E42)/Assumptions!F26</f>
        <v>15.0144147743603</v>
      </c>
      <c r="E55" s="47" t="n">
        <f aca="false">((B11+(('Cash Flow Statement'!J30*(1+0.025))/(0.11-0.025))/(1+0.11)^5)-'Balance Sheet'!E42)/Assumptions!F26</f>
        <v>12.6107479945611</v>
      </c>
      <c r="F55" s="47" t="n">
        <f aca="false">((B11+(('Cash Flow Statement'!J30*(1+0.025))/(0.12-0.025))/(1+0.12)^5)-'Balance Sheet'!E42)/Assumptions!F26</f>
        <v>10.7413117385281</v>
      </c>
    </row>
    <row r="58" customFormat="false" ht="15" hidden="false" customHeight="true" outlineLevel="0" collapsed="false">
      <c r="A58" s="5" t="s">
        <v>183</v>
      </c>
      <c r="B58" s="6"/>
      <c r="C58" s="6"/>
      <c r="D58" s="6"/>
      <c r="E58" s="6"/>
      <c r="F58" s="6"/>
    </row>
    <row r="59" customFormat="false" ht="15" hidden="false" customHeight="true" outlineLevel="0" collapsed="false">
      <c r="A59" s="44" t="s">
        <v>184</v>
      </c>
      <c r="B59" s="48" t="s">
        <v>185</v>
      </c>
      <c r="C59" s="48" t="s">
        <v>186</v>
      </c>
      <c r="D59" s="48" t="s">
        <v>187</v>
      </c>
      <c r="E59" s="48" t="s">
        <v>188</v>
      </c>
      <c r="F59" s="48" t="s">
        <v>189</v>
      </c>
    </row>
    <row r="60" customFormat="false" ht="15" hidden="false" customHeight="true" outlineLevel="0" collapsed="false">
      <c r="A60" s="46" t="n">
        <v>0.1</v>
      </c>
      <c r="B60" s="47" t="n">
        <f aca="false">(218.5*4-'Balance Sheet'!E42)/Assumptions!F26</f>
        <v>-0.342281879194631</v>
      </c>
      <c r="C60" s="47" t="n">
        <f aca="false">(218.5*5-'Balance Sheet'!E42)/Assumptions!F26</f>
        <v>1.1241610738255</v>
      </c>
      <c r="D60" s="47" t="n">
        <f aca="false">(218.5*6-'Balance Sheet'!E42)/Assumptions!F26</f>
        <v>2.59060402684564</v>
      </c>
      <c r="E60" s="47" t="n">
        <f aca="false">(218.5*7-'Balance Sheet'!E42)/Assumptions!F26</f>
        <v>4.05704697986577</v>
      </c>
      <c r="F60" s="47" t="n">
        <f aca="false">(218.5*8-'Balance Sheet'!E42)/Assumptions!F26</f>
        <v>5.52348993288591</v>
      </c>
    </row>
    <row r="61" customFormat="false" ht="15" hidden="false" customHeight="true" outlineLevel="0" collapsed="false">
      <c r="A61" s="46" t="n">
        <v>0.13</v>
      </c>
      <c r="B61" s="47" t="n">
        <f aca="false">(284.05*4-'Balance Sheet'!E42)/Assumptions!F26</f>
        <v>1.41744966442953</v>
      </c>
      <c r="C61" s="47" t="n">
        <f aca="false">(284.05*5-'Balance Sheet'!E42)/Assumptions!F26</f>
        <v>3.3238255033557</v>
      </c>
      <c r="D61" s="47" t="n">
        <f aca="false">(284.05*6-'Balance Sheet'!E42)/Assumptions!F26</f>
        <v>5.23020134228188</v>
      </c>
      <c r="E61" s="47" t="n">
        <f aca="false">(284.05*7-'Balance Sheet'!E42)/Assumptions!F26</f>
        <v>7.13657718120806</v>
      </c>
      <c r="F61" s="47" t="n">
        <f aca="false">(284.05*8-'Balance Sheet'!E42)/Assumptions!F26</f>
        <v>9.04295302013423</v>
      </c>
    </row>
    <row r="62" customFormat="false" ht="15" hidden="false" customHeight="true" outlineLevel="0" collapsed="false">
      <c r="A62" s="46" t="n">
        <v>0.15</v>
      </c>
      <c r="B62" s="47" t="n">
        <f aca="false">(327.75*4-'Balance Sheet'!E42)/Assumptions!F26</f>
        <v>2.59060402684564</v>
      </c>
      <c r="C62" s="47" t="n">
        <f aca="false">(327.75*5-'Balance Sheet'!E42)/Assumptions!F26</f>
        <v>4.79026845637584</v>
      </c>
      <c r="D62" s="47" t="n">
        <f aca="false">(327.75*6-'Balance Sheet'!E42)/Assumptions!F26</f>
        <v>6.98993288590604</v>
      </c>
      <c r="E62" s="47" t="n">
        <f aca="false">(327.75*7-'Balance Sheet'!E42)/Assumptions!F26</f>
        <v>9.18959731543624</v>
      </c>
      <c r="F62" s="47" t="n">
        <f aca="false">(327.75*8-'Balance Sheet'!E42)/Assumptions!F26</f>
        <v>11.3892617449664</v>
      </c>
    </row>
    <row r="63" customFormat="false" ht="15" hidden="false" customHeight="true" outlineLevel="0" collapsed="false">
      <c r="A63" s="46" t="n">
        <v>0.17</v>
      </c>
      <c r="B63" s="47" t="n">
        <f aca="false">(371.45*4-'Balance Sheet'!E42)/Assumptions!F26</f>
        <v>3.76375838926174</v>
      </c>
      <c r="C63" s="47" t="n">
        <f aca="false">(371.45*5-'Balance Sheet'!E42)/Assumptions!F26</f>
        <v>6.25671140939597</v>
      </c>
      <c r="D63" s="47" t="n">
        <f aca="false">(371.45*6-'Balance Sheet'!E42)/Assumptions!F26</f>
        <v>8.7496644295302</v>
      </c>
      <c r="E63" s="47" t="n">
        <f aca="false">(371.45*7-'Balance Sheet'!E42)/Assumptions!F26</f>
        <v>11.2426174496644</v>
      </c>
      <c r="F63" s="47" t="n">
        <f aca="false">(371.45*8-'Balance Sheet'!E42)/Assumptions!F26</f>
        <v>13.7355704697987</v>
      </c>
    </row>
    <row r="64" customFormat="false" ht="15" hidden="false" customHeight="true" outlineLevel="0" collapsed="false">
      <c r="A64" s="46" t="n">
        <v>0.2</v>
      </c>
      <c r="B64" s="47" t="n">
        <f aca="false">(437*4-'Balance Sheet'!E42)/Assumptions!F26</f>
        <v>5.52348993288591</v>
      </c>
      <c r="C64" s="47" t="n">
        <f aca="false">(437*5-'Balance Sheet'!E42)/Assumptions!F26</f>
        <v>8.45637583892617</v>
      </c>
      <c r="D64" s="47" t="n">
        <f aca="false">(437*6-'Balance Sheet'!E42)/Assumptions!F26</f>
        <v>11.3892617449664</v>
      </c>
      <c r="E64" s="47" t="n">
        <f aca="false">(437*7-'Balance Sheet'!E42)/Assumptions!F26</f>
        <v>14.3221476510067</v>
      </c>
      <c r="F64" s="47" t="n">
        <f aca="false">(437*8-'Balance Sheet'!E42)/Assumptions!F26</f>
        <v>17.255033557047</v>
      </c>
    </row>
    <row r="67" customFormat="false" ht="15" hidden="false" customHeight="true" outlineLevel="0" collapsed="false">
      <c r="A67" s="26" t="s">
        <v>190</v>
      </c>
    </row>
    <row r="68" customFormat="false" ht="15" hidden="false" customHeight="true" outlineLevel="0" collapsed="false">
      <c r="A68" s="3" t="s">
        <v>191</v>
      </c>
    </row>
    <row r="69" customFormat="false" ht="15" hidden="false" customHeight="true" outlineLevel="0" collapsed="false">
      <c r="A69" s="3" t="s">
        <v>192</v>
      </c>
    </row>
    <row r="70" customFormat="false" ht="15" hidden="false" customHeight="true" outlineLevel="0" collapsed="false">
      <c r="A70" s="3" t="s">
        <v>193</v>
      </c>
    </row>
    <row r="71" customFormat="false" ht="15" hidden="false" customHeight="true" outlineLevel="0" collapsed="false">
      <c r="A71" s="3" t="s">
        <v>194</v>
      </c>
    </row>
    <row r="72" customFormat="false" ht="15" hidden="false" customHeight="true" outlineLevel="0" collapsed="false">
      <c r="A72" s="3" t="s">
        <v>195</v>
      </c>
    </row>
    <row r="73" customFormat="false" ht="15" hidden="false" customHeight="true" outlineLevel="0" collapsed="false">
      <c r="A73" s="49" t="s">
        <v>196</v>
      </c>
    </row>
    <row r="74" customFormat="false" ht="15" hidden="false" customHeight="true" outlineLevel="0" collapsed="false">
      <c r="A74" s="49" t="s">
        <v>197</v>
      </c>
    </row>
    <row r="75" customFormat="false" ht="15" hidden="false" customHeight="true" outlineLevel="0" collapsed="false">
      <c r="A75" s="3" t="s">
        <v>198</v>
      </c>
    </row>
    <row r="76" customFormat="false" ht="15" hidden="false" customHeight="true" outlineLevel="0" collapsed="false">
      <c r="A76" s="3" t="s">
        <v>199</v>
      </c>
    </row>
  </sheetData>
  <conditionalFormatting sqref="B51:F55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60:F64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G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7" min="2" style="0" width="14"/>
  </cols>
  <sheetData>
    <row r="1" customFormat="false" ht="18" hidden="false" customHeight="true" outlineLevel="0" collapsed="false">
      <c r="A1" s="50" t="s">
        <v>200</v>
      </c>
    </row>
    <row r="2" customFormat="false" ht="15" hidden="false" customHeight="false" outlineLevel="0" collapsed="false">
      <c r="A2" s="51" t="s">
        <v>201</v>
      </c>
    </row>
    <row r="4" customFormat="false" ht="13.5" hidden="false" customHeight="true" outlineLevel="0" collapsed="false">
      <c r="A4" s="52" t="s">
        <v>202</v>
      </c>
      <c r="B4" s="53"/>
      <c r="C4" s="53"/>
      <c r="D4" s="53"/>
      <c r="E4" s="53"/>
      <c r="F4" s="53"/>
      <c r="G4" s="53"/>
    </row>
    <row r="5" customFormat="false" ht="15.75" hidden="false" customHeight="true" outlineLevel="0" collapsed="false">
      <c r="A5" s="54" t="s">
        <v>203</v>
      </c>
      <c r="B5" s="54"/>
      <c r="C5" s="54"/>
      <c r="D5" s="54"/>
      <c r="E5" s="54"/>
      <c r="F5" s="54"/>
      <c r="G5" s="54"/>
    </row>
    <row r="6" customFormat="false" ht="51.75" hidden="false" customHeight="true" outlineLevel="0" collapsed="false">
      <c r="A6" s="55" t="s">
        <v>204</v>
      </c>
      <c r="B6" s="55"/>
      <c r="C6" s="55"/>
      <c r="D6" s="55"/>
      <c r="E6" s="55"/>
      <c r="F6" s="55"/>
      <c r="G6" s="55"/>
    </row>
    <row r="7" customFormat="false" ht="15.75" hidden="false" customHeight="true" outlineLevel="0" collapsed="false">
      <c r="A7" s="54" t="s">
        <v>205</v>
      </c>
      <c r="B7" s="54"/>
      <c r="C7" s="54"/>
      <c r="D7" s="54"/>
      <c r="E7" s="54"/>
      <c r="F7" s="54"/>
      <c r="G7" s="54"/>
    </row>
    <row r="8" customFormat="false" ht="51.75" hidden="false" customHeight="true" outlineLevel="0" collapsed="false">
      <c r="A8" s="55" t="s">
        <v>206</v>
      </c>
      <c r="B8" s="55"/>
      <c r="C8" s="55"/>
      <c r="D8" s="55"/>
      <c r="E8" s="55"/>
      <c r="F8" s="55"/>
      <c r="G8" s="55"/>
    </row>
    <row r="9" customFormat="false" ht="15.75" hidden="false" customHeight="true" outlineLevel="0" collapsed="false">
      <c r="A9" s="54" t="s">
        <v>207</v>
      </c>
      <c r="B9" s="54"/>
      <c r="C9" s="54"/>
      <c r="D9" s="54"/>
      <c r="E9" s="54"/>
      <c r="F9" s="54"/>
      <c r="G9" s="54"/>
    </row>
    <row r="10" customFormat="false" ht="51.75" hidden="false" customHeight="true" outlineLevel="0" collapsed="false">
      <c r="A10" s="55" t="s">
        <v>208</v>
      </c>
      <c r="B10" s="55"/>
      <c r="C10" s="55"/>
      <c r="D10" s="55"/>
      <c r="E10" s="55"/>
      <c r="F10" s="55"/>
      <c r="G10" s="55"/>
    </row>
    <row r="11" customFormat="false" ht="15.75" hidden="false" customHeight="true" outlineLevel="0" collapsed="false">
      <c r="A11" s="54" t="s">
        <v>209</v>
      </c>
      <c r="B11" s="54"/>
      <c r="C11" s="54"/>
      <c r="D11" s="54"/>
      <c r="E11" s="54"/>
      <c r="F11" s="54"/>
      <c r="G11" s="54"/>
    </row>
    <row r="12" customFormat="false" ht="51.75" hidden="false" customHeight="true" outlineLevel="0" collapsed="false">
      <c r="A12" s="55" t="s">
        <v>210</v>
      </c>
      <c r="B12" s="55"/>
      <c r="C12" s="55"/>
      <c r="D12" s="55"/>
      <c r="E12" s="55"/>
      <c r="F12" s="55"/>
      <c r="G12" s="55"/>
    </row>
    <row r="14" customFormat="false" ht="15" hidden="false" customHeight="false" outlineLevel="0" collapsed="false">
      <c r="A14" s="56" t="s">
        <v>211</v>
      </c>
      <c r="B14" s="57"/>
      <c r="C14" s="57"/>
      <c r="D14" s="57"/>
      <c r="E14" s="57"/>
      <c r="F14" s="57"/>
      <c r="G14" s="57"/>
    </row>
    <row r="15" customFormat="false" ht="30" hidden="false" customHeight="true" outlineLevel="0" collapsed="false">
      <c r="A15" s="4" t="s">
        <v>212</v>
      </c>
      <c r="B15" s="4" t="s">
        <v>213</v>
      </c>
      <c r="C15" s="4" t="s">
        <v>214</v>
      </c>
      <c r="D15" s="4" t="s">
        <v>215</v>
      </c>
      <c r="E15" s="4" t="s">
        <v>216</v>
      </c>
      <c r="F15" s="4" t="s">
        <v>217</v>
      </c>
      <c r="G15" s="4" t="s">
        <v>218</v>
      </c>
    </row>
    <row r="16" customFormat="false" ht="15" hidden="false" customHeight="false" outlineLevel="0" collapsed="false">
      <c r="A16" s="58" t="s">
        <v>219</v>
      </c>
      <c r="B16" s="59" t="n">
        <v>0.15</v>
      </c>
      <c r="C16" s="60" t="n">
        <v>0</v>
      </c>
      <c r="D16" s="61" t="n">
        <v>0</v>
      </c>
      <c r="E16" s="62" t="s">
        <v>220</v>
      </c>
      <c r="F16" s="61" t="n">
        <v>-925</v>
      </c>
      <c r="G16" s="63" t="n">
        <v>0</v>
      </c>
    </row>
    <row r="17" customFormat="false" ht="15" hidden="false" customHeight="false" outlineLevel="0" collapsed="false">
      <c r="A17" s="64" t="s">
        <v>221</v>
      </c>
      <c r="B17" s="9" t="n">
        <v>0.25</v>
      </c>
      <c r="C17" s="65" t="n">
        <v>500</v>
      </c>
      <c r="D17" s="66" t="n">
        <v>400</v>
      </c>
      <c r="E17" s="67" t="s">
        <v>222</v>
      </c>
      <c r="F17" s="66" t="n">
        <v>-525</v>
      </c>
      <c r="G17" s="68" t="n">
        <v>2.7</v>
      </c>
    </row>
    <row r="18" customFormat="false" ht="15" hidden="false" customHeight="false" outlineLevel="0" collapsed="false">
      <c r="A18" s="64" t="s">
        <v>223</v>
      </c>
      <c r="B18" s="9" t="n">
        <v>0.35</v>
      </c>
      <c r="C18" s="65" t="n">
        <v>1000</v>
      </c>
      <c r="D18" s="66" t="n">
        <v>800</v>
      </c>
      <c r="E18" s="67" t="s">
        <v>224</v>
      </c>
      <c r="F18" s="66" t="n">
        <v>-125</v>
      </c>
      <c r="G18" s="68" t="n">
        <v>5.37</v>
      </c>
    </row>
    <row r="19" customFormat="false" ht="15" hidden="false" customHeight="false" outlineLevel="0" collapsed="false">
      <c r="A19" s="69" t="s">
        <v>225</v>
      </c>
      <c r="B19" s="70" t="n">
        <v>0.2</v>
      </c>
      <c r="C19" s="71" t="n">
        <v>1500</v>
      </c>
      <c r="D19" s="72" t="n">
        <v>1200</v>
      </c>
      <c r="E19" s="73" t="s">
        <v>226</v>
      </c>
      <c r="F19" s="72" t="n">
        <v>275</v>
      </c>
      <c r="G19" s="74" t="n">
        <v>8.05</v>
      </c>
    </row>
    <row r="20" customFormat="false" ht="15" hidden="false" customHeight="false" outlineLevel="0" collapsed="false">
      <c r="A20" s="75" t="s">
        <v>227</v>
      </c>
      <c r="B20" s="76" t="n">
        <v>0.05</v>
      </c>
      <c r="C20" s="77" t="n">
        <v>2500</v>
      </c>
      <c r="D20" s="78" t="n">
        <v>2000</v>
      </c>
      <c r="E20" s="79" t="s">
        <v>228</v>
      </c>
      <c r="F20" s="78" t="n">
        <v>1075</v>
      </c>
      <c r="G20" s="80" t="n">
        <v>13.42</v>
      </c>
    </row>
    <row r="21" customFormat="false" ht="15" hidden="false" customHeight="false" outlineLevel="0" collapsed="false">
      <c r="A21" s="81" t="s">
        <v>229</v>
      </c>
      <c r="B21" s="82" t="n">
        <f aca="false">0.15+0.25+0.35+0.2+0.05</f>
        <v>1</v>
      </c>
      <c r="D21" s="83" t="n">
        <f aca="false">0.15*0+0.25*400+0.35*800+0.2*1200+0.05*2000</f>
        <v>720</v>
      </c>
    </row>
    <row r="23" customFormat="false" ht="15" hidden="false" customHeight="false" outlineLevel="0" collapsed="false">
      <c r="A23" s="56" t="s">
        <v>230</v>
      </c>
      <c r="B23" s="57"/>
      <c r="C23" s="57"/>
      <c r="D23" s="57"/>
      <c r="E23" s="57"/>
      <c r="F23" s="57"/>
      <c r="G23" s="57"/>
    </row>
    <row r="24" customFormat="false" ht="30" hidden="false" customHeight="true" outlineLevel="0" collapsed="false">
      <c r="A24" s="4" t="s">
        <v>132</v>
      </c>
      <c r="B24" s="4" t="s">
        <v>231</v>
      </c>
      <c r="C24" s="4" t="s">
        <v>232</v>
      </c>
      <c r="D24" s="4" t="s">
        <v>233</v>
      </c>
      <c r="E24" s="4"/>
      <c r="F24" s="4"/>
      <c r="G24" s="4"/>
    </row>
    <row r="25" customFormat="false" ht="15" hidden="false" customHeight="false" outlineLevel="0" collapsed="false">
      <c r="A25" s="84" t="s">
        <v>234</v>
      </c>
      <c r="B25" s="67" t="s">
        <v>235</v>
      </c>
      <c r="C25" s="67" t="s">
        <v>236</v>
      </c>
      <c r="D25" s="67" t="s">
        <v>237</v>
      </c>
    </row>
    <row r="26" customFormat="false" ht="15" hidden="false" customHeight="false" outlineLevel="0" collapsed="false">
      <c r="A26" s="84" t="s">
        <v>238</v>
      </c>
      <c r="B26" s="67" t="s">
        <v>239</v>
      </c>
      <c r="C26" s="67" t="s">
        <v>240</v>
      </c>
      <c r="D26" s="67" t="s">
        <v>241</v>
      </c>
    </row>
    <row r="27" customFormat="false" ht="15" hidden="false" customHeight="false" outlineLevel="0" collapsed="false">
      <c r="A27" s="84" t="s">
        <v>242</v>
      </c>
      <c r="B27" s="67" t="s">
        <v>243</v>
      </c>
      <c r="C27" s="67" t="s">
        <v>240</v>
      </c>
      <c r="D27" s="67" t="s">
        <v>244</v>
      </c>
    </row>
    <row r="28" customFormat="false" ht="15" hidden="false" customHeight="false" outlineLevel="0" collapsed="false">
      <c r="A28" s="84" t="s">
        <v>245</v>
      </c>
      <c r="B28" s="67" t="s">
        <v>246</v>
      </c>
      <c r="C28" s="67" t="s">
        <v>247</v>
      </c>
      <c r="D28" s="67" t="s">
        <v>248</v>
      </c>
    </row>
    <row r="29" customFormat="false" ht="15" hidden="false" customHeight="false" outlineLevel="0" collapsed="false">
      <c r="A29" s="84" t="s">
        <v>249</v>
      </c>
      <c r="B29" s="67" t="s">
        <v>250</v>
      </c>
      <c r="C29" s="67" t="s">
        <v>251</v>
      </c>
      <c r="D29" s="67" t="s">
        <v>252</v>
      </c>
    </row>
    <row r="30" customFormat="false" ht="15" hidden="false" customHeight="false" outlineLevel="0" collapsed="false">
      <c r="A30" s="84" t="s">
        <v>253</v>
      </c>
      <c r="B30" s="67" t="s">
        <v>254</v>
      </c>
      <c r="C30" s="67" t="s">
        <v>255</v>
      </c>
      <c r="D30" s="67" t="s">
        <v>256</v>
      </c>
    </row>
    <row r="32" customFormat="false" ht="15" hidden="false" customHeight="false" outlineLevel="0" collapsed="false">
      <c r="A32" s="85" t="s">
        <v>257</v>
      </c>
      <c r="B32" s="86"/>
      <c r="C32" s="86"/>
      <c r="D32" s="86"/>
      <c r="E32" s="86"/>
      <c r="F32" s="86"/>
      <c r="G32" s="86"/>
    </row>
    <row r="33" customFormat="false" ht="30" hidden="false" customHeight="true" outlineLevel="0" collapsed="false">
      <c r="A33" s="4" t="s">
        <v>258</v>
      </c>
      <c r="B33" s="4" t="s">
        <v>259</v>
      </c>
      <c r="C33" s="4" t="s">
        <v>260</v>
      </c>
      <c r="D33" s="4" t="s">
        <v>261</v>
      </c>
      <c r="E33" s="4" t="s">
        <v>262</v>
      </c>
      <c r="F33" s="4"/>
      <c r="G33" s="4"/>
    </row>
    <row r="34" customFormat="false" ht="15" hidden="false" customHeight="false" outlineLevel="0" collapsed="false">
      <c r="A34" s="84" t="s">
        <v>263</v>
      </c>
      <c r="B34" s="87" t="s">
        <v>264</v>
      </c>
      <c r="C34" s="67" t="s">
        <v>265</v>
      </c>
      <c r="D34" s="88" t="s">
        <v>266</v>
      </c>
      <c r="E34" s="88" t="s">
        <v>267</v>
      </c>
    </row>
    <row r="35" customFormat="false" ht="15" hidden="false" customHeight="false" outlineLevel="0" collapsed="false">
      <c r="A35" s="84" t="s">
        <v>268</v>
      </c>
      <c r="B35" s="87" t="s">
        <v>254</v>
      </c>
      <c r="C35" s="67" t="s">
        <v>269</v>
      </c>
      <c r="D35" s="88" t="s">
        <v>270</v>
      </c>
      <c r="E35" s="88" t="s">
        <v>271</v>
      </c>
    </row>
    <row r="36" customFormat="false" ht="15" hidden="false" customHeight="false" outlineLevel="0" collapsed="false">
      <c r="A36" s="84" t="s">
        <v>272</v>
      </c>
      <c r="B36" s="87" t="s">
        <v>254</v>
      </c>
      <c r="C36" s="67" t="s">
        <v>269</v>
      </c>
      <c r="D36" s="88" t="s">
        <v>273</v>
      </c>
      <c r="E36" s="88" t="s">
        <v>274</v>
      </c>
    </row>
    <row r="37" customFormat="false" ht="15" hidden="false" customHeight="false" outlineLevel="0" collapsed="false">
      <c r="A37" s="89" t="s">
        <v>275</v>
      </c>
      <c r="B37" s="90" t="s">
        <v>264</v>
      </c>
      <c r="C37" s="91" t="s">
        <v>276</v>
      </c>
      <c r="D37" s="92" t="s">
        <v>277</v>
      </c>
      <c r="E37" s="92" t="s">
        <v>278</v>
      </c>
    </row>
    <row r="39" customFormat="false" ht="15" hidden="false" customHeight="false" outlineLevel="0" collapsed="false">
      <c r="A39" s="85" t="s">
        <v>279</v>
      </c>
      <c r="B39" s="86"/>
      <c r="C39" s="86"/>
      <c r="D39" s="86"/>
      <c r="E39" s="86"/>
      <c r="F39" s="86"/>
      <c r="G39" s="86"/>
    </row>
    <row r="40" customFormat="false" ht="30" hidden="false" customHeight="true" outlineLevel="0" collapsed="false">
      <c r="A40" s="4" t="s">
        <v>258</v>
      </c>
      <c r="B40" s="4" t="s">
        <v>259</v>
      </c>
      <c r="C40" s="4" t="s">
        <v>260</v>
      </c>
      <c r="D40" s="4" t="s">
        <v>261</v>
      </c>
      <c r="E40" s="4" t="s">
        <v>262</v>
      </c>
      <c r="F40" s="4"/>
      <c r="G40" s="4"/>
    </row>
    <row r="41" customFormat="false" ht="15" hidden="false" customHeight="false" outlineLevel="0" collapsed="false">
      <c r="A41" s="84" t="s">
        <v>280</v>
      </c>
      <c r="B41" s="87" t="s">
        <v>281</v>
      </c>
      <c r="C41" s="67" t="s">
        <v>282</v>
      </c>
      <c r="D41" s="88" t="s">
        <v>283</v>
      </c>
      <c r="E41" s="88" t="s">
        <v>284</v>
      </c>
    </row>
    <row r="42" customFormat="false" ht="15" hidden="false" customHeight="false" outlineLevel="0" collapsed="false">
      <c r="A42" s="84" t="s">
        <v>285</v>
      </c>
      <c r="B42" s="87" t="s">
        <v>286</v>
      </c>
      <c r="C42" s="67" t="s">
        <v>287</v>
      </c>
      <c r="D42" s="88" t="s">
        <v>270</v>
      </c>
      <c r="E42" s="88" t="s">
        <v>288</v>
      </c>
    </row>
    <row r="43" customFormat="false" ht="15" hidden="false" customHeight="false" outlineLevel="0" collapsed="false">
      <c r="A43" s="84" t="s">
        <v>289</v>
      </c>
      <c r="B43" s="87" t="s">
        <v>254</v>
      </c>
      <c r="C43" s="67" t="s">
        <v>273</v>
      </c>
      <c r="D43" s="88" t="s">
        <v>274</v>
      </c>
      <c r="E43" s="88" t="s">
        <v>290</v>
      </c>
    </row>
    <row r="44" customFormat="false" ht="15" hidden="false" customHeight="false" outlineLevel="0" collapsed="false">
      <c r="A44" s="84" t="s">
        <v>291</v>
      </c>
      <c r="B44" s="87" t="s">
        <v>254</v>
      </c>
      <c r="C44" s="67" t="s">
        <v>292</v>
      </c>
      <c r="D44" s="88" t="s">
        <v>293</v>
      </c>
      <c r="E44" s="88" t="s">
        <v>294</v>
      </c>
    </row>
    <row r="45" customFormat="false" ht="15" hidden="false" customHeight="false" outlineLevel="0" collapsed="false">
      <c r="A45" s="89" t="s">
        <v>295</v>
      </c>
      <c r="B45" s="90" t="s">
        <v>296</v>
      </c>
      <c r="C45" s="91" t="s">
        <v>297</v>
      </c>
      <c r="D45" s="92" t="s">
        <v>298</v>
      </c>
      <c r="E45" s="92" t="s">
        <v>299</v>
      </c>
    </row>
    <row r="47" customFormat="false" ht="15" hidden="false" customHeight="false" outlineLevel="0" collapsed="false">
      <c r="A47" s="56" t="s">
        <v>300</v>
      </c>
      <c r="B47" s="57"/>
      <c r="C47" s="57"/>
      <c r="D47" s="57"/>
      <c r="E47" s="57"/>
      <c r="F47" s="57"/>
      <c r="G47" s="57"/>
    </row>
    <row r="48" customFormat="false" ht="30" hidden="false" customHeight="true" outlineLevel="0" collapsed="false">
      <c r="A48" s="4" t="s">
        <v>301</v>
      </c>
      <c r="B48" s="4" t="s">
        <v>302</v>
      </c>
      <c r="C48" s="4" t="s">
        <v>303</v>
      </c>
      <c r="D48" s="4" t="s">
        <v>304</v>
      </c>
      <c r="E48" s="4" t="s">
        <v>305</v>
      </c>
      <c r="F48" s="4" t="s">
        <v>306</v>
      </c>
      <c r="G48" s="4" t="s">
        <v>307</v>
      </c>
    </row>
    <row r="49" customFormat="false" ht="15" hidden="false" customHeight="false" outlineLevel="0" collapsed="false">
      <c r="A49" s="93" t="s">
        <v>308</v>
      </c>
      <c r="B49" s="93"/>
      <c r="C49" s="93"/>
      <c r="D49" s="93"/>
      <c r="E49" s="93"/>
      <c r="F49" s="93"/>
      <c r="G49" s="93"/>
    </row>
    <row r="50" customFormat="false" ht="15" hidden="false" customHeight="false" outlineLevel="0" collapsed="false">
      <c r="A50" s="94" t="s">
        <v>309</v>
      </c>
      <c r="B50" s="95" t="n">
        <v>5.54</v>
      </c>
      <c r="C50" s="95" t="n">
        <v>7.35</v>
      </c>
      <c r="D50" s="63" t="n">
        <v>9.16</v>
      </c>
      <c r="E50" s="96" t="n">
        <v>12.79</v>
      </c>
      <c r="F50" s="96" t="n">
        <v>16.41</v>
      </c>
      <c r="G50" s="96" t="n">
        <v>20.03</v>
      </c>
    </row>
    <row r="51" customFormat="false" ht="15" hidden="false" customHeight="false" outlineLevel="0" collapsed="false">
      <c r="A51" s="84" t="s">
        <v>310</v>
      </c>
      <c r="B51" s="97" t="n">
        <v>6.99</v>
      </c>
      <c r="C51" s="68" t="n">
        <v>9.04</v>
      </c>
      <c r="D51" s="68" t="n">
        <v>11.09</v>
      </c>
      <c r="E51" s="98" t="n">
        <v>15.2</v>
      </c>
      <c r="F51" s="98" t="n">
        <v>19.31</v>
      </c>
      <c r="G51" s="98" t="n">
        <v>23.42</v>
      </c>
    </row>
    <row r="52" customFormat="false" ht="15" hidden="false" customHeight="false" outlineLevel="0" collapsed="false">
      <c r="A52" s="99" t="s">
        <v>311</v>
      </c>
      <c r="B52" s="80" t="n">
        <v>8.76</v>
      </c>
      <c r="C52" s="80" t="n">
        <v>11.11</v>
      </c>
      <c r="D52" s="100" t="n">
        <v>13.46</v>
      </c>
      <c r="E52" s="100" t="n">
        <v>18.15</v>
      </c>
      <c r="F52" s="100" t="n">
        <v>22.85</v>
      </c>
      <c r="G52" s="100" t="n">
        <v>27.55</v>
      </c>
    </row>
    <row r="54" customFormat="false" ht="15" hidden="false" customHeight="false" outlineLevel="0" collapsed="false">
      <c r="A54" s="93" t="s">
        <v>312</v>
      </c>
      <c r="B54" s="93"/>
      <c r="C54" s="93"/>
      <c r="D54" s="93"/>
      <c r="E54" s="93"/>
      <c r="F54" s="93"/>
      <c r="G54" s="93"/>
    </row>
    <row r="55" customFormat="false" ht="15" hidden="false" customHeight="false" outlineLevel="0" collapsed="false">
      <c r="A55" s="94" t="s">
        <v>313</v>
      </c>
      <c r="B55" s="95" t="n">
        <v>8.61</v>
      </c>
      <c r="C55" s="95" t="n">
        <v>10.6</v>
      </c>
      <c r="D55" s="95" t="n">
        <v>12.58</v>
      </c>
      <c r="E55" s="95" t="n">
        <v>16.56</v>
      </c>
      <c r="F55" s="63" t="n">
        <v>20.53</v>
      </c>
      <c r="G55" s="63" t="n">
        <v>24.5</v>
      </c>
    </row>
    <row r="56" customFormat="false" ht="15" hidden="false" customHeight="false" outlineLevel="0" collapsed="false">
      <c r="A56" s="84" t="s">
        <v>314</v>
      </c>
      <c r="B56" s="97" t="n">
        <v>10.12</v>
      </c>
      <c r="C56" s="97" t="n">
        <v>12.36</v>
      </c>
      <c r="D56" s="97" t="n">
        <v>14.6</v>
      </c>
      <c r="E56" s="97" t="n">
        <v>19.07</v>
      </c>
      <c r="F56" s="68" t="n">
        <v>23.55</v>
      </c>
      <c r="G56" s="98" t="n">
        <v>28.03</v>
      </c>
    </row>
    <row r="57" customFormat="false" ht="15" hidden="false" customHeight="false" outlineLevel="0" collapsed="false">
      <c r="A57" s="99" t="s">
        <v>315</v>
      </c>
      <c r="B57" s="101" t="n">
        <v>13.38</v>
      </c>
      <c r="C57" s="101" t="n">
        <v>15.83</v>
      </c>
      <c r="D57" s="101" t="n">
        <v>18.28</v>
      </c>
      <c r="E57" s="80" t="n">
        <v>23.18</v>
      </c>
      <c r="F57" s="100" t="n">
        <v>28.08</v>
      </c>
      <c r="G57" s="100" t="n">
        <v>32.98</v>
      </c>
    </row>
    <row r="58" customFormat="false" ht="15" hidden="false" customHeight="false" outlineLevel="0" collapsed="false">
      <c r="A58" s="99" t="s">
        <v>316</v>
      </c>
      <c r="B58" s="101" t="n">
        <v>15.89</v>
      </c>
      <c r="C58" s="101" t="n">
        <v>18.54</v>
      </c>
      <c r="D58" s="80" t="n">
        <v>21.19</v>
      </c>
      <c r="E58" s="100" t="n">
        <v>26.49</v>
      </c>
      <c r="F58" s="100" t="n">
        <v>31.79</v>
      </c>
      <c r="G58" s="100" t="n">
        <v>37.09</v>
      </c>
    </row>
    <row r="61" customFormat="false" ht="13.5" hidden="false" customHeight="true" outlineLevel="0" collapsed="false">
      <c r="A61" s="102" t="s">
        <v>317</v>
      </c>
      <c r="B61" s="103"/>
      <c r="C61" s="103"/>
      <c r="D61" s="103"/>
      <c r="E61" s="103"/>
      <c r="F61" s="103"/>
      <c r="G61" s="103"/>
    </row>
    <row r="62" customFormat="false" ht="30" hidden="false" customHeight="true" outlineLevel="0" collapsed="false">
      <c r="A62" s="4" t="s">
        <v>318</v>
      </c>
      <c r="B62" s="104" t="s">
        <v>319</v>
      </c>
      <c r="C62" s="104"/>
      <c r="D62" s="104"/>
      <c r="E62" s="104"/>
      <c r="F62" s="104"/>
      <c r="G62" s="104"/>
    </row>
    <row r="63" customFormat="false" ht="30" hidden="false" customHeight="true" outlineLevel="0" collapsed="false">
      <c r="A63" s="105" t="s">
        <v>320</v>
      </c>
      <c r="B63" s="106" t="s">
        <v>321</v>
      </c>
      <c r="C63" s="106"/>
      <c r="D63" s="106"/>
      <c r="E63" s="106"/>
      <c r="F63" s="106"/>
      <c r="G63" s="106"/>
    </row>
    <row r="64" customFormat="false" ht="30" hidden="false" customHeight="true" outlineLevel="0" collapsed="false">
      <c r="A64" s="105" t="s">
        <v>320</v>
      </c>
      <c r="B64" s="106" t="s">
        <v>322</v>
      </c>
      <c r="C64" s="106"/>
      <c r="D64" s="106"/>
      <c r="E64" s="106"/>
      <c r="F64" s="106"/>
      <c r="G64" s="106"/>
    </row>
    <row r="65" customFormat="false" ht="30" hidden="false" customHeight="true" outlineLevel="0" collapsed="false">
      <c r="A65" s="105" t="s">
        <v>323</v>
      </c>
      <c r="B65" s="106" t="s">
        <v>324</v>
      </c>
      <c r="C65" s="106"/>
      <c r="D65" s="106"/>
      <c r="E65" s="106"/>
      <c r="F65" s="106"/>
      <c r="G65" s="106"/>
    </row>
    <row r="66" customFormat="false" ht="30" hidden="false" customHeight="true" outlineLevel="0" collapsed="false">
      <c r="A66" s="105" t="s">
        <v>325</v>
      </c>
      <c r="B66" s="106" t="s">
        <v>326</v>
      </c>
      <c r="C66" s="106"/>
      <c r="D66" s="106"/>
      <c r="E66" s="106"/>
      <c r="F66" s="106"/>
      <c r="G66" s="106"/>
    </row>
    <row r="67" customFormat="false" ht="30" hidden="false" customHeight="true" outlineLevel="0" collapsed="false">
      <c r="A67" s="105" t="s">
        <v>327</v>
      </c>
      <c r="B67" s="106" t="s">
        <v>328</v>
      </c>
      <c r="C67" s="106"/>
      <c r="D67" s="106"/>
      <c r="E67" s="106"/>
      <c r="F67" s="106"/>
      <c r="G67" s="106"/>
    </row>
    <row r="68" customFormat="false" ht="30" hidden="false" customHeight="true" outlineLevel="0" collapsed="false">
      <c r="A68" s="105" t="s">
        <v>329</v>
      </c>
      <c r="B68" s="106" t="s">
        <v>330</v>
      </c>
      <c r="C68" s="106"/>
      <c r="D68" s="106"/>
      <c r="E68" s="106"/>
      <c r="F68" s="106"/>
      <c r="G68" s="106"/>
    </row>
    <row r="69" customFormat="false" ht="30" hidden="false" customHeight="true" outlineLevel="0" collapsed="false">
      <c r="A69" s="105" t="s">
        <v>331</v>
      </c>
      <c r="B69" s="106" t="s">
        <v>332</v>
      </c>
      <c r="C69" s="106"/>
      <c r="D69" s="106"/>
      <c r="E69" s="106"/>
      <c r="F69" s="106"/>
      <c r="G69" s="106"/>
    </row>
    <row r="71" customFormat="false" ht="15" hidden="false" customHeight="false" outlineLevel="0" collapsed="false">
      <c r="A71" s="107" t="s">
        <v>333</v>
      </c>
      <c r="B71" s="108"/>
      <c r="C71" s="108"/>
      <c r="D71" s="108"/>
      <c r="E71" s="108"/>
      <c r="F71" s="108"/>
      <c r="G71" s="108"/>
    </row>
    <row r="72" customFormat="false" ht="31.5" hidden="false" customHeight="true" outlineLevel="0" collapsed="false">
      <c r="A72" s="109" t="s">
        <v>334</v>
      </c>
      <c r="B72" s="110" t="s">
        <v>335</v>
      </c>
      <c r="C72" s="110"/>
      <c r="D72" s="110"/>
      <c r="E72" s="110"/>
      <c r="F72" s="110"/>
      <c r="G72" s="110"/>
    </row>
    <row r="73" customFormat="false" ht="31.5" hidden="false" customHeight="true" outlineLevel="0" collapsed="false">
      <c r="A73" s="109" t="s">
        <v>336</v>
      </c>
      <c r="B73" s="110" t="s">
        <v>337</v>
      </c>
      <c r="C73" s="110"/>
      <c r="D73" s="110"/>
      <c r="E73" s="110"/>
      <c r="F73" s="110"/>
      <c r="G73" s="110"/>
    </row>
    <row r="74" customFormat="false" ht="31.5" hidden="false" customHeight="true" outlineLevel="0" collapsed="false">
      <c r="A74" s="109" t="s">
        <v>338</v>
      </c>
      <c r="B74" s="110" t="s">
        <v>339</v>
      </c>
      <c r="C74" s="110"/>
      <c r="D74" s="110"/>
      <c r="E74" s="110"/>
      <c r="F74" s="110"/>
      <c r="G74" s="110"/>
    </row>
    <row r="75" customFormat="false" ht="31.5" hidden="false" customHeight="true" outlineLevel="0" collapsed="false">
      <c r="A75" s="109" t="s">
        <v>340</v>
      </c>
      <c r="B75" s="110" t="s">
        <v>341</v>
      </c>
      <c r="C75" s="110"/>
      <c r="D75" s="110"/>
      <c r="E75" s="110"/>
      <c r="F75" s="110"/>
      <c r="G75" s="110"/>
    </row>
    <row r="76" customFormat="false" ht="31.5" hidden="false" customHeight="true" outlineLevel="0" collapsed="false">
      <c r="A76" s="109" t="s">
        <v>342</v>
      </c>
      <c r="B76" s="110" t="s">
        <v>343</v>
      </c>
      <c r="C76" s="110"/>
      <c r="D76" s="110"/>
      <c r="E76" s="110"/>
      <c r="F76" s="110"/>
      <c r="G76" s="110"/>
    </row>
    <row r="78" customFormat="false" ht="15" hidden="false" customHeight="false" outlineLevel="0" collapsed="false">
      <c r="A78" s="111" t="s">
        <v>344</v>
      </c>
      <c r="B78" s="111"/>
      <c r="C78" s="111"/>
      <c r="D78" s="111"/>
      <c r="E78" s="111"/>
      <c r="F78" s="111"/>
      <c r="G78" s="111"/>
    </row>
  </sheetData>
  <mergeCells count="24">
    <mergeCell ref="A5:G5"/>
    <mergeCell ref="A6:G6"/>
    <mergeCell ref="A7:G7"/>
    <mergeCell ref="A8:G8"/>
    <mergeCell ref="A9:G9"/>
    <mergeCell ref="A10:G10"/>
    <mergeCell ref="A11:G11"/>
    <mergeCell ref="A12:G12"/>
    <mergeCell ref="A49:G49"/>
    <mergeCell ref="A54:G54"/>
    <mergeCell ref="B62:G62"/>
    <mergeCell ref="B63:G63"/>
    <mergeCell ref="B64:G64"/>
    <mergeCell ref="B65:G65"/>
    <mergeCell ref="B66:G66"/>
    <mergeCell ref="B67:G67"/>
    <mergeCell ref="B68:G68"/>
    <mergeCell ref="B69:G69"/>
    <mergeCell ref="B72:G72"/>
    <mergeCell ref="B73:G73"/>
    <mergeCell ref="B74:G74"/>
    <mergeCell ref="B75:G75"/>
    <mergeCell ref="B76:G76"/>
    <mergeCell ref="A78:G78"/>
  </mergeCells>
  <conditionalFormatting sqref="B52:G58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2026-06-04T13:00:03Z</dcterms:created>
  <dc:creator>openpyxl</dc:creator>
  <dc:description/>
  <dc:language>en-US</dc:language>
  <cp:lastModifiedBy/>
  <dcterms:modified xsi:type="dcterms:W3CDTF">2026-06-07T15:41:51Z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